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adairy.sharepoint.com/SADA/Projects/Traceability Project/ADF Project/"/>
    </mc:Choice>
  </mc:AlternateContent>
  <xr:revisionPtr revIDLastSave="0" documentId="8_{92DE02E3-AF12-493F-9055-180B141DFEF9}" xr6:coauthVersionLast="47" xr6:coauthVersionMax="47" xr10:uidLastSave="{00000000-0000-0000-0000-000000000000}"/>
  <bookViews>
    <workbookView xWindow="20370" yWindow="-120" windowWidth="29040" windowHeight="15720" tabRatio="943" activeTab="3" xr2:uid="{3855575C-7E27-43CC-AB5D-5C83EFDCA7A0}"/>
  </bookViews>
  <sheets>
    <sheet name="DASHBOARD (2)" sheetId="60" r:id="rId1"/>
    <sheet name="DASHBOARD" sheetId="7" r:id="rId2"/>
    <sheet name="Headline Price Calculations" sheetId="58" r:id="rId3"/>
    <sheet name="Tabled Data" sheetId="8" r:id="rId4"/>
    <sheet name="Pivot Tables" sheetId="59" r:id="rId5"/>
    <sheet name="Disclaimers &amp; Limitations" sheetId="57" r:id="rId6"/>
    <sheet name="ACM" sheetId="13" r:id="rId7"/>
    <sheet name="ADFC" sheetId="10" r:id="rId8"/>
    <sheet name="Bega (Bega &amp; Bodalla)" sheetId="36" r:id="rId9"/>
    <sheet name="Bega (Gippsland)" sheetId="33" r:id="rId10"/>
    <sheet name="Bega (North Vic &amp; Riverina)" sheetId="37" r:id="rId11"/>
    <sheet name="Bega (SA Central)" sheetId="6" r:id="rId12"/>
    <sheet name="Bega (SE SA &amp; West Vic)" sheetId="32" r:id="rId13"/>
    <sheet name="Bega (Tas)" sheetId="35" r:id="rId14"/>
    <sheet name="Brownes" sheetId="11" r:id="rId15"/>
    <sheet name="Bulla" sheetId="12" r:id="rId16"/>
    <sheet name="Burra" sheetId="14" r:id="rId17"/>
    <sheet name="Coles (SA Central)" sheetId="30" r:id="rId18"/>
    <sheet name="Coles (Vic, Riverina, &amp; SE SA)" sheetId="29" r:id="rId19"/>
    <sheet name="Coles (NSW South Coast)" sheetId="28" r:id="rId20"/>
    <sheet name="Coles (Tas)" sheetId="27" r:id="rId21"/>
    <sheet name="Coles (WA)" sheetId="2" r:id="rId22"/>
    <sheet name="DFMC (Vic)" sheetId="38" r:id="rId23"/>
    <sheet name="DFMC (SA)" sheetId="15" r:id="rId24"/>
    <sheet name="Fleurieu Milk" sheetId="20" r:id="rId25"/>
    <sheet name="Fonterra (Tas)" sheetId="52" r:id="rId26"/>
    <sheet name="Fonterra (North Vic &amp; Riverina)" sheetId="50" r:id="rId27"/>
    <sheet name="Fonterra (SE SA &amp; West Vic)" sheetId="51" r:id="rId28"/>
    <sheet name="Frestine" sheetId="17" r:id="rId29"/>
    <sheet name="GVC" sheetId="18" r:id="rId30"/>
    <sheet name="KY Valley (North Vic)" sheetId="56" r:id="rId31"/>
    <sheet name="KY Valley (West Vic)" sheetId="19" r:id="rId32"/>
    <sheet name="LaCasa" sheetId="1" r:id="rId33"/>
    <sheet name="Lactalis (Vic, Tas, &amp; Riverina)" sheetId="41" r:id="rId34"/>
    <sheet name="Lactalis (Gippsland &amp; West Vic)" sheetId="40" r:id="rId35"/>
    <sheet name="Lactalis (QLD)" sheetId="43" r:id="rId36"/>
    <sheet name="Lactalis (SA)" sheetId="5" r:id="rId37"/>
    <sheet name="Lactalis (WA)" sheetId="39" r:id="rId38"/>
    <sheet name="Lactalis (NSW)" sheetId="42" r:id="rId39"/>
    <sheet name="Mondelez" sheetId="21" r:id="rId40"/>
    <sheet name="Norco (South Region)" sheetId="45" r:id="rId41"/>
    <sheet name="Norco (North Region)" sheetId="44" r:id="rId42"/>
    <sheet name="Noumi" sheetId="23" r:id="rId43"/>
    <sheet name="Riverina Fresh" sheetId="25" r:id="rId44"/>
    <sheet name="Saputo (North Vic)" sheetId="47" r:id="rId45"/>
    <sheet name="Saputo (Tas)" sheetId="48" r:id="rId46"/>
    <sheet name="Saputo (Gippsland)" sheetId="49" r:id="rId47"/>
    <sheet name="Saputo (NSW Metro)" sheetId="4" r:id="rId48"/>
    <sheet name="Saputo (SW Vic &amp; SA)" sheetId="46" r:id="rId49"/>
    <sheet name="UDC" sheetId="24" r:id="rId50"/>
    <sheet name="Woolworths" sheetId="26" r:id="rId51"/>
  </sheets>
  <definedNames>
    <definedName name="_xlnm._FilterDatabase" localSheetId="1" hidden="1">DASHBOARD!$B$20:$G$20</definedName>
    <definedName name="_xlnm._FilterDatabase" localSheetId="0" hidden="1">'DASHBOARD (2)'!$B$20:$F$20</definedName>
    <definedName name="DASHBOARD" localSheetId="0">'DASHBOARD (2)'!$A$1:$H$35</definedName>
    <definedName name="DASHBOARD">DASHBOARD!$A$1:$H$35</definedName>
    <definedName name="MPS">'Tabled Data'!$G$2:$G$77</definedName>
    <definedName name="Region_Dropdown" localSheetId="0">TABLE[Region]</definedName>
    <definedName name="Region_Dropdown">TABLE[Region]</definedName>
    <definedName name="States">'Tabled Data'!$AA$2:$AF$2</definedName>
  </definedNames>
  <calcPr calcId="191028"/>
  <pivotCaches>
    <pivotCache cacheId="4923" r:id="rId5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60" l="1" a="1"/>
  <c r="C18" i="60"/>
  <c r="F16" i="60"/>
  <c r="F15" i="60"/>
  <c r="F14" i="60"/>
  <c r="F13" i="60"/>
  <c r="F12" i="60"/>
  <c r="F11" i="60"/>
  <c r="F10" i="60"/>
  <c r="F9" i="60"/>
  <c r="F8" i="60"/>
  <c r="F7" i="60"/>
  <c r="F6" i="60"/>
  <c r="F5" i="60"/>
  <c r="F18" i="60" s="1"/>
  <c r="B63" i="8"/>
  <c r="B64" i="8"/>
  <c r="B8" i="8"/>
  <c r="B9" i="8"/>
  <c r="B42" i="8"/>
  <c r="B43" i="8"/>
  <c r="B28" i="8"/>
  <c r="B77" i="8"/>
  <c r="B78" i="8"/>
  <c r="B100" i="8"/>
  <c r="B99" i="8"/>
  <c r="B67" i="8"/>
  <c r="B11" i="8"/>
  <c r="B81" i="8"/>
  <c r="B12" i="8"/>
  <c r="B102" i="8"/>
  <c r="B14" i="8"/>
  <c r="B15" i="8"/>
  <c r="B36" i="8"/>
  <c r="B83" i="8"/>
  <c r="B84" i="8"/>
  <c r="B106" i="8"/>
  <c r="B105" i="8"/>
  <c r="B104" i="8"/>
  <c r="B47" i="8"/>
  <c r="B107" i="8"/>
  <c r="B46" i="8"/>
  <c r="B55" i="8"/>
  <c r="B86" i="8"/>
  <c r="B17" i="8"/>
  <c r="B18" i="8"/>
  <c r="B70" i="8"/>
  <c r="B88" i="8"/>
  <c r="B109" i="8"/>
  <c r="B74" i="8"/>
  <c r="B25" i="8"/>
  <c r="B41" i="8"/>
  <c r="B50" i="8"/>
  <c r="B60" i="8"/>
  <c r="B26" i="8"/>
  <c r="B114" i="8"/>
  <c r="B52" i="8"/>
  <c r="B116" i="8"/>
  <c r="O43" i="58"/>
  <c r="O44" i="58"/>
  <c r="O45" i="58"/>
  <c r="O46" i="58"/>
  <c r="O47" i="58"/>
  <c r="O48" i="58"/>
  <c r="O49" i="58"/>
  <c r="O50" i="58"/>
  <c r="O51" i="58"/>
  <c r="O52" i="58"/>
  <c r="O53" i="58"/>
  <c r="T62" i="58"/>
  <c r="T63" i="58"/>
  <c r="T64" i="58"/>
  <c r="T65" i="58"/>
  <c r="T66" i="58"/>
  <c r="T67" i="58"/>
  <c r="T68" i="58"/>
  <c r="T69" i="58"/>
  <c r="T70" i="58"/>
  <c r="T71" i="58"/>
  <c r="T72" i="58"/>
  <c r="T61" i="58"/>
  <c r="O42" i="58"/>
  <c r="X23" i="58"/>
  <c r="X24" i="58"/>
  <c r="X25" i="58"/>
  <c r="X26" i="58"/>
  <c r="X27" i="58"/>
  <c r="X28" i="58"/>
  <c r="X29" i="58"/>
  <c r="X30" i="58"/>
  <c r="X31" i="58"/>
  <c r="X32" i="58"/>
  <c r="X33" i="58"/>
  <c r="X34" i="58"/>
  <c r="AI34" i="58"/>
  <c r="I81" i="58"/>
  <c r="I82" i="58"/>
  <c r="I83" i="58"/>
  <c r="I84" i="58"/>
  <c r="I85" i="58"/>
  <c r="I86" i="58"/>
  <c r="I87" i="58"/>
  <c r="I88" i="58"/>
  <c r="I89" i="58"/>
  <c r="I90" i="58"/>
  <c r="I91" i="58"/>
  <c r="I80" i="58"/>
  <c r="H81" i="58"/>
  <c r="H82" i="58"/>
  <c r="H83" i="58"/>
  <c r="H84" i="58"/>
  <c r="H85" i="58"/>
  <c r="H86" i="58"/>
  <c r="H87" i="58"/>
  <c r="H88" i="58"/>
  <c r="H89" i="58"/>
  <c r="H90" i="58"/>
  <c r="H91" i="58"/>
  <c r="H80" i="58"/>
  <c r="W5" i="58"/>
  <c r="W6" i="58"/>
  <c r="W7" i="58"/>
  <c r="W8" i="58"/>
  <c r="W9" i="58"/>
  <c r="W10" i="58"/>
  <c r="W11" i="58"/>
  <c r="W12" i="58"/>
  <c r="W13" i="58"/>
  <c r="W14" i="58"/>
  <c r="W15" i="58"/>
  <c r="W4" i="58"/>
  <c r="R24" i="58"/>
  <c r="R25" i="58"/>
  <c r="R26" i="58"/>
  <c r="R27" i="58"/>
  <c r="R28" i="58"/>
  <c r="R29" i="58"/>
  <c r="R30" i="58"/>
  <c r="R31" i="58"/>
  <c r="R32" i="58"/>
  <c r="R33" i="58"/>
  <c r="R34" i="58"/>
  <c r="Q24" i="58"/>
  <c r="Q25" i="58"/>
  <c r="Q26" i="58"/>
  <c r="Q27" i="58"/>
  <c r="Q28" i="58"/>
  <c r="Q29" i="58"/>
  <c r="Q30" i="58"/>
  <c r="Q31" i="58"/>
  <c r="Q32" i="58"/>
  <c r="Q33" i="58"/>
  <c r="Q34" i="58"/>
  <c r="Q23" i="58"/>
  <c r="P4" i="58"/>
  <c r="R23" i="58"/>
  <c r="O4" i="58"/>
  <c r="P5" i="58"/>
  <c r="P6" i="58"/>
  <c r="P7" i="58"/>
  <c r="P8" i="58"/>
  <c r="P9" i="58"/>
  <c r="P10" i="58"/>
  <c r="P11" i="58"/>
  <c r="P12" i="58"/>
  <c r="P13" i="58"/>
  <c r="P14" i="58"/>
  <c r="P15" i="58"/>
  <c r="O5" i="58"/>
  <c r="O6" i="58"/>
  <c r="O7" i="58"/>
  <c r="O8" i="58"/>
  <c r="O9" i="58"/>
  <c r="O10" i="58"/>
  <c r="O11" i="58"/>
  <c r="O12" i="58"/>
  <c r="O13" i="58"/>
  <c r="O14" i="58"/>
  <c r="O15" i="58"/>
  <c r="I43" i="58"/>
  <c r="I44" i="58"/>
  <c r="I45" i="58"/>
  <c r="I46" i="58"/>
  <c r="I47" i="58"/>
  <c r="I48" i="58"/>
  <c r="I49" i="58"/>
  <c r="I50" i="58"/>
  <c r="I51" i="58"/>
  <c r="I52" i="58"/>
  <c r="I53" i="58"/>
  <c r="I42" i="58"/>
  <c r="H43" i="58"/>
  <c r="H44" i="58"/>
  <c r="H45" i="58"/>
  <c r="H46" i="58"/>
  <c r="H47" i="58"/>
  <c r="H48" i="58"/>
  <c r="H49" i="58"/>
  <c r="H50" i="58"/>
  <c r="H51" i="58"/>
  <c r="H52" i="58"/>
  <c r="H53" i="58"/>
  <c r="H42" i="58"/>
  <c r="L62" i="58"/>
  <c r="L63" i="58"/>
  <c r="L64" i="58"/>
  <c r="L65" i="58"/>
  <c r="L66" i="58"/>
  <c r="L67" i="58"/>
  <c r="L68" i="58"/>
  <c r="L69" i="58"/>
  <c r="L70" i="58"/>
  <c r="L71" i="58"/>
  <c r="L72" i="58"/>
  <c r="L61" i="58"/>
  <c r="M62" i="58"/>
  <c r="M63" i="58"/>
  <c r="M64" i="58"/>
  <c r="M65" i="58"/>
  <c r="M66" i="58"/>
  <c r="M67" i="58"/>
  <c r="M68" i="58"/>
  <c r="M69" i="58"/>
  <c r="M70" i="58"/>
  <c r="M71" i="58"/>
  <c r="M72" i="58"/>
  <c r="M61" i="58"/>
  <c r="G21" i="36"/>
  <c r="G22" i="36"/>
  <c r="G23" i="36"/>
  <c r="G24" i="36"/>
  <c r="G25" i="36"/>
  <c r="G26" i="36"/>
  <c r="G27" i="36"/>
  <c r="G28" i="36"/>
  <c r="G29" i="36"/>
  <c r="G30" i="36"/>
  <c r="G31" i="36"/>
  <c r="G20" i="36"/>
  <c r="F21" i="36"/>
  <c r="U81" i="58" s="1"/>
  <c r="F22" i="36"/>
  <c r="U82" i="58" s="1"/>
  <c r="F23" i="36"/>
  <c r="U83" i="58" s="1"/>
  <c r="F24" i="36"/>
  <c r="U84" i="58" s="1"/>
  <c r="F25" i="36"/>
  <c r="U85" i="58" s="1"/>
  <c r="F26" i="36"/>
  <c r="U86" i="58" s="1"/>
  <c r="F27" i="36"/>
  <c r="U87" i="58" s="1"/>
  <c r="F28" i="36"/>
  <c r="U88" i="58" s="1"/>
  <c r="F29" i="36"/>
  <c r="U89" i="58" s="1"/>
  <c r="F30" i="36"/>
  <c r="U90" i="58" s="1"/>
  <c r="F31" i="36"/>
  <c r="U91" i="58" s="1"/>
  <c r="F20" i="36"/>
  <c r="U80" i="58" s="1"/>
  <c r="H31" i="36"/>
  <c r="H30" i="36"/>
  <c r="H29" i="36"/>
  <c r="H28" i="36"/>
  <c r="H27" i="36"/>
  <c r="H26" i="36"/>
  <c r="H25" i="36"/>
  <c r="H24" i="36"/>
  <c r="H23" i="36"/>
  <c r="H22" i="36"/>
  <c r="H21" i="36"/>
  <c r="H20" i="36"/>
  <c r="Q81" i="58"/>
  <c r="Q82" i="58"/>
  <c r="Q83" i="58"/>
  <c r="Q84" i="58"/>
  <c r="Q85" i="58"/>
  <c r="Q86" i="58"/>
  <c r="Q87" i="58"/>
  <c r="Q88" i="58"/>
  <c r="Q89" i="58"/>
  <c r="Q90" i="58"/>
  <c r="Q91" i="58"/>
  <c r="Q80" i="58"/>
  <c r="AC62" i="58"/>
  <c r="AC63" i="58"/>
  <c r="AC64" i="58"/>
  <c r="AC65" i="58"/>
  <c r="AC66" i="58"/>
  <c r="AC67" i="58"/>
  <c r="AC68" i="58"/>
  <c r="AC69" i="58"/>
  <c r="AC70" i="58"/>
  <c r="AC71" i="58"/>
  <c r="AC72" i="58"/>
  <c r="AC61" i="58"/>
  <c r="Z43" i="58"/>
  <c r="Z44" i="58"/>
  <c r="Z45" i="58"/>
  <c r="Z46" i="58"/>
  <c r="Z47" i="58"/>
  <c r="Z48" i="58"/>
  <c r="Z49" i="58"/>
  <c r="Z50" i="58"/>
  <c r="Z51" i="58"/>
  <c r="Z52" i="58"/>
  <c r="Z53" i="58"/>
  <c r="Z42" i="58"/>
  <c r="L24" i="58"/>
  <c r="L25" i="58"/>
  <c r="L26" i="58"/>
  <c r="L27" i="58"/>
  <c r="L28" i="58"/>
  <c r="L29" i="58"/>
  <c r="L30" i="58"/>
  <c r="L31" i="58"/>
  <c r="L32" i="58"/>
  <c r="L33" i="58"/>
  <c r="L34" i="58"/>
  <c r="L23" i="58"/>
  <c r="AA24" i="58"/>
  <c r="AA25" i="58"/>
  <c r="AA26" i="58"/>
  <c r="AA27" i="58"/>
  <c r="AA28" i="58"/>
  <c r="AA29" i="58"/>
  <c r="AA30" i="58"/>
  <c r="AA31" i="58"/>
  <c r="AA32" i="58"/>
  <c r="AA33" i="58"/>
  <c r="AA34" i="58"/>
  <c r="AA23" i="58"/>
  <c r="H5" i="58"/>
  <c r="H6" i="58"/>
  <c r="H7" i="58"/>
  <c r="H8" i="58"/>
  <c r="H9" i="58"/>
  <c r="H10" i="58"/>
  <c r="H11" i="58"/>
  <c r="H12" i="58"/>
  <c r="H13" i="58"/>
  <c r="H14" i="58"/>
  <c r="H15" i="58"/>
  <c r="H4" i="58"/>
  <c r="X36" i="58"/>
  <c r="B44" i="8"/>
  <c r="B38" i="8"/>
  <c r="B35" i="8"/>
  <c r="B40" i="8"/>
  <c r="B39" i="8"/>
  <c r="B34" i="8"/>
  <c r="B37" i="8"/>
  <c r="B45" i="8"/>
  <c r="B48" i="8"/>
  <c r="B49" i="8"/>
  <c r="B51" i="8"/>
  <c r="B117" i="8"/>
  <c r="B119" i="8"/>
  <c r="B118" i="8"/>
  <c r="B53" i="8"/>
  <c r="B54" i="8"/>
  <c r="B56" i="8"/>
  <c r="B57" i="8"/>
  <c r="B58" i="8"/>
  <c r="B59" i="8"/>
  <c r="B96" i="8"/>
  <c r="B97" i="8"/>
  <c r="B98" i="8"/>
  <c r="B101" i="8"/>
  <c r="B103" i="8"/>
  <c r="B113" i="8"/>
  <c r="B108" i="8"/>
  <c r="B110" i="8"/>
  <c r="B111" i="8"/>
  <c r="B112" i="8"/>
  <c r="B115" i="8"/>
  <c r="B32" i="8"/>
  <c r="B33" i="8"/>
  <c r="B75" i="8"/>
  <c r="B76" i="8"/>
  <c r="B79" i="8"/>
  <c r="B80" i="8"/>
  <c r="B82" i="8"/>
  <c r="B85" i="8"/>
  <c r="B94" i="8"/>
  <c r="B93" i="8"/>
  <c r="B87" i="8"/>
  <c r="B89" i="8"/>
  <c r="B90" i="8"/>
  <c r="B91" i="8"/>
  <c r="B92" i="8"/>
  <c r="B95" i="8"/>
  <c r="B4" i="8"/>
  <c r="B3" i="8"/>
  <c r="B5" i="8"/>
  <c r="B6" i="8"/>
  <c r="B10" i="8"/>
  <c r="B7" i="8"/>
  <c r="B13" i="8"/>
  <c r="B16" i="8"/>
  <c r="B23" i="8"/>
  <c r="B19" i="8"/>
  <c r="B21" i="8"/>
  <c r="B20" i="8"/>
  <c r="B22" i="8"/>
  <c r="B24" i="8"/>
  <c r="B61" i="8"/>
  <c r="B62" i="8"/>
  <c r="B65" i="8"/>
  <c r="B66" i="8"/>
  <c r="B68" i="8"/>
  <c r="B69" i="8"/>
  <c r="B71" i="8"/>
  <c r="B72" i="8"/>
  <c r="B73" i="8"/>
  <c r="B27" i="8"/>
  <c r="B29" i="8"/>
  <c r="B30" i="8"/>
  <c r="B31" i="8"/>
  <c r="T74" i="58"/>
  <c r="O55" i="58"/>
  <c r="H17" i="58"/>
  <c r="W17" i="58"/>
  <c r="AA36" i="58"/>
  <c r="L36" i="58"/>
  <c r="Z55" i="58"/>
  <c r="AC74" i="58"/>
  <c r="Q93" i="58"/>
  <c r="H93" i="58"/>
  <c r="I93" i="58"/>
  <c r="L74" i="58"/>
  <c r="M74" i="58"/>
  <c r="H55" i="58"/>
  <c r="I55" i="58"/>
  <c r="R36" i="58"/>
  <c r="F6" i="7"/>
  <c r="F7" i="7"/>
  <c r="F8" i="7"/>
  <c r="F9" i="7"/>
  <c r="F16" i="7"/>
  <c r="E15" i="56"/>
  <c r="E14" i="56"/>
  <c r="E13" i="56"/>
  <c r="E12" i="56"/>
  <c r="E11" i="56"/>
  <c r="E10" i="56"/>
  <c r="E9" i="56"/>
  <c r="E8" i="56"/>
  <c r="E7" i="56"/>
  <c r="E6" i="56"/>
  <c r="E5" i="56"/>
  <c r="E4" i="56"/>
  <c r="AA62" i="58"/>
  <c r="AA63" i="58"/>
  <c r="AA64" i="58"/>
  <c r="AA65" i="58"/>
  <c r="AA66" i="58"/>
  <c r="AA67" i="58"/>
  <c r="AA68" i="58"/>
  <c r="AA69" i="58"/>
  <c r="AA70" i="58"/>
  <c r="AA71" i="58"/>
  <c r="AA72" i="58"/>
  <c r="AA61" i="58"/>
  <c r="Q43" i="58"/>
  <c r="Q44" i="58"/>
  <c r="Q45" i="58"/>
  <c r="Q46" i="58"/>
  <c r="Q47" i="58"/>
  <c r="Q48" i="58"/>
  <c r="Q49" i="58"/>
  <c r="Q50" i="58"/>
  <c r="Q51" i="58"/>
  <c r="Q52" i="58"/>
  <c r="Q53" i="58"/>
  <c r="Q42" i="58"/>
  <c r="AF24" i="58"/>
  <c r="AF25" i="58"/>
  <c r="AF26" i="58"/>
  <c r="AF27" i="58"/>
  <c r="AF28" i="58"/>
  <c r="AF29" i="58"/>
  <c r="AF30" i="58"/>
  <c r="AF31" i="58"/>
  <c r="AF32" i="58"/>
  <c r="AF33" i="58"/>
  <c r="AF34" i="58"/>
  <c r="AF23" i="58"/>
  <c r="W42" i="58"/>
  <c r="V43" i="58"/>
  <c r="V44" i="58"/>
  <c r="V45" i="58"/>
  <c r="V46" i="58"/>
  <c r="V47" i="58"/>
  <c r="V48" i="58"/>
  <c r="V49" i="58"/>
  <c r="V50" i="58"/>
  <c r="V51" i="58"/>
  <c r="V52" i="58"/>
  <c r="V53" i="58"/>
  <c r="V42" i="58"/>
  <c r="T43" i="58"/>
  <c r="T44" i="58"/>
  <c r="T45" i="58"/>
  <c r="T46" i="58"/>
  <c r="T47" i="58"/>
  <c r="T48" i="58"/>
  <c r="T49" i="58"/>
  <c r="T50" i="58"/>
  <c r="T51" i="58"/>
  <c r="T52" i="58"/>
  <c r="T53" i="58"/>
  <c r="N81" i="58"/>
  <c r="N82" i="58"/>
  <c r="N83" i="58"/>
  <c r="N84" i="58"/>
  <c r="N85" i="58"/>
  <c r="N86" i="58"/>
  <c r="N87" i="58"/>
  <c r="N88" i="58"/>
  <c r="N89" i="58"/>
  <c r="N90" i="58"/>
  <c r="N91" i="58"/>
  <c r="N80" i="58"/>
  <c r="T42" i="58"/>
  <c r="AD24" i="58"/>
  <c r="AD25" i="58"/>
  <c r="AD26" i="58"/>
  <c r="AD27" i="58"/>
  <c r="AD28" i="58"/>
  <c r="AD29" i="58"/>
  <c r="AD30" i="58"/>
  <c r="AD31" i="58"/>
  <c r="AD32" i="58"/>
  <c r="AD33" i="58"/>
  <c r="AD34" i="58"/>
  <c r="AD23" i="58"/>
  <c r="K5" i="58"/>
  <c r="K6" i="58"/>
  <c r="K7" i="58"/>
  <c r="K8" i="58"/>
  <c r="K9" i="58"/>
  <c r="K10" i="58"/>
  <c r="K11" i="58"/>
  <c r="K12" i="58"/>
  <c r="K13" i="58"/>
  <c r="K14" i="58"/>
  <c r="K15" i="58"/>
  <c r="K4" i="58"/>
  <c r="AD5" i="58"/>
  <c r="AD6" i="58"/>
  <c r="AD7" i="58"/>
  <c r="AD8" i="58"/>
  <c r="AD9" i="58"/>
  <c r="AD10" i="58"/>
  <c r="AD11" i="58"/>
  <c r="AD12" i="58"/>
  <c r="AD13" i="58"/>
  <c r="AD14" i="58"/>
  <c r="AD15" i="58"/>
  <c r="AD4" i="58"/>
  <c r="F24" i="58"/>
  <c r="F25" i="58"/>
  <c r="F26" i="58"/>
  <c r="F27" i="58"/>
  <c r="F28" i="58"/>
  <c r="F29" i="58"/>
  <c r="F30" i="58"/>
  <c r="F31" i="58"/>
  <c r="F32" i="58"/>
  <c r="F33" i="58"/>
  <c r="F34" i="58"/>
  <c r="F23" i="58"/>
  <c r="W81" i="58"/>
  <c r="W82" i="58"/>
  <c r="W83" i="58"/>
  <c r="W84" i="58"/>
  <c r="W85" i="58"/>
  <c r="W86" i="58"/>
  <c r="W87" i="58"/>
  <c r="W88" i="58"/>
  <c r="W89" i="58"/>
  <c r="W90" i="58"/>
  <c r="W91" i="58"/>
  <c r="W80" i="58"/>
  <c r="V24" i="58"/>
  <c r="V25" i="58"/>
  <c r="V26" i="58"/>
  <c r="V27" i="58"/>
  <c r="V28" i="58"/>
  <c r="V29" i="58"/>
  <c r="V30" i="58"/>
  <c r="V31" i="58"/>
  <c r="V32" i="58"/>
  <c r="V33" i="58"/>
  <c r="V34" i="58"/>
  <c r="L43" i="58"/>
  <c r="L44" i="58"/>
  <c r="L45" i="58"/>
  <c r="L46" i="58"/>
  <c r="L47" i="58"/>
  <c r="L48" i="58"/>
  <c r="L49" i="58"/>
  <c r="L50" i="58"/>
  <c r="L51" i="58"/>
  <c r="L52" i="58"/>
  <c r="L53" i="58"/>
  <c r="M81" i="58"/>
  <c r="M82" i="58"/>
  <c r="M83" i="58"/>
  <c r="M84" i="58"/>
  <c r="M85" i="58"/>
  <c r="M86" i="58"/>
  <c r="M87" i="58"/>
  <c r="M88" i="58"/>
  <c r="M89" i="58"/>
  <c r="M90" i="58"/>
  <c r="M91" i="58"/>
  <c r="M80" i="58"/>
  <c r="V23" i="58"/>
  <c r="L42" i="58"/>
  <c r="Q62" i="58"/>
  <c r="Q63" i="58"/>
  <c r="Q64" i="58"/>
  <c r="Q65" i="58"/>
  <c r="Q66" i="58"/>
  <c r="Q67" i="58"/>
  <c r="Q68" i="58"/>
  <c r="Q69" i="58"/>
  <c r="Q70" i="58"/>
  <c r="Q71" i="58"/>
  <c r="Q72" i="58"/>
  <c r="Q61" i="58"/>
  <c r="R5" i="58"/>
  <c r="R6" i="58"/>
  <c r="R7" i="58"/>
  <c r="R8" i="58"/>
  <c r="R9" i="58"/>
  <c r="R10" i="58"/>
  <c r="R11" i="58"/>
  <c r="R12" i="58"/>
  <c r="R13" i="58"/>
  <c r="R14" i="58"/>
  <c r="R15" i="58"/>
  <c r="R4" i="58"/>
  <c r="F5" i="58"/>
  <c r="F6" i="58"/>
  <c r="F7" i="58"/>
  <c r="F8" i="58"/>
  <c r="F9" i="58"/>
  <c r="F10" i="58"/>
  <c r="F11" i="58"/>
  <c r="F12" i="58"/>
  <c r="F13" i="58"/>
  <c r="F14" i="58"/>
  <c r="F15" i="58"/>
  <c r="F4" i="58"/>
  <c r="F81" i="58"/>
  <c r="F82" i="58"/>
  <c r="F83" i="58"/>
  <c r="F84" i="58"/>
  <c r="F85" i="58"/>
  <c r="F86" i="58"/>
  <c r="F87" i="58"/>
  <c r="F88" i="58"/>
  <c r="F89" i="58"/>
  <c r="F90" i="58"/>
  <c r="F91" i="58"/>
  <c r="F80" i="58"/>
  <c r="P24" i="58"/>
  <c r="P25" i="58"/>
  <c r="P26" i="58"/>
  <c r="P27" i="58"/>
  <c r="P28" i="58"/>
  <c r="P29" i="58"/>
  <c r="P30" i="58"/>
  <c r="P31" i="58"/>
  <c r="P32" i="58"/>
  <c r="P33" i="58"/>
  <c r="P34" i="58"/>
  <c r="P23" i="58"/>
  <c r="F43" i="58"/>
  <c r="F44" i="58"/>
  <c r="F45" i="58"/>
  <c r="F46" i="58"/>
  <c r="F47" i="58"/>
  <c r="F48" i="58"/>
  <c r="F49" i="58"/>
  <c r="F50" i="58"/>
  <c r="F51" i="58"/>
  <c r="F52" i="58"/>
  <c r="F53" i="58"/>
  <c r="F42" i="58"/>
  <c r="E4" i="42"/>
  <c r="E5" i="42"/>
  <c r="E6" i="42"/>
  <c r="E7" i="42"/>
  <c r="E8" i="42"/>
  <c r="E9" i="42"/>
  <c r="E10" i="42"/>
  <c r="E11" i="42"/>
  <c r="E12" i="42"/>
  <c r="E13" i="42"/>
  <c r="E14" i="42"/>
  <c r="D4" i="42"/>
  <c r="D5" i="42"/>
  <c r="D6" i="42"/>
  <c r="D7" i="42"/>
  <c r="D8" i="42"/>
  <c r="D9" i="42"/>
  <c r="D10" i="42"/>
  <c r="D11" i="42"/>
  <c r="D12" i="42"/>
  <c r="D13" i="42"/>
  <c r="D14" i="42"/>
  <c r="E3" i="42"/>
  <c r="D3" i="42"/>
  <c r="J7" i="14"/>
  <c r="J8" i="14"/>
  <c r="J9" i="14"/>
  <c r="J10" i="14"/>
  <c r="J11" i="14"/>
  <c r="J12" i="14"/>
  <c r="J13" i="14"/>
  <c r="J14" i="14"/>
  <c r="J15" i="14"/>
  <c r="J16" i="14"/>
  <c r="J6" i="14"/>
  <c r="I12" i="45"/>
  <c r="I13" i="45"/>
  <c r="I14" i="45"/>
  <c r="I15" i="45"/>
  <c r="I16" i="45"/>
  <c r="I11" i="45"/>
  <c r="I12" i="44"/>
  <c r="I13" i="44"/>
  <c r="I14" i="44"/>
  <c r="I15" i="44"/>
  <c r="I16" i="44"/>
  <c r="I11" i="44"/>
  <c r="E6" i="24"/>
  <c r="H5" i="43"/>
  <c r="H6" i="43"/>
  <c r="H7" i="43"/>
  <c r="H8" i="43"/>
  <c r="H9" i="43"/>
  <c r="H10" i="43"/>
  <c r="H11" i="43"/>
  <c r="H12" i="43"/>
  <c r="H13" i="43"/>
  <c r="H14" i="43"/>
  <c r="H15" i="43"/>
  <c r="H4" i="43"/>
  <c r="G5" i="43"/>
  <c r="G6" i="43"/>
  <c r="G7" i="43"/>
  <c r="G8" i="43"/>
  <c r="G9" i="43"/>
  <c r="G10" i="43"/>
  <c r="G11" i="43"/>
  <c r="G12" i="43"/>
  <c r="G13" i="43"/>
  <c r="G14" i="43"/>
  <c r="G15" i="43"/>
  <c r="G4" i="43"/>
  <c r="F4" i="39"/>
  <c r="F5" i="39"/>
  <c r="F6" i="39"/>
  <c r="F7" i="39"/>
  <c r="F8" i="39"/>
  <c r="F9" i="39"/>
  <c r="F10" i="39"/>
  <c r="F11" i="39"/>
  <c r="F12" i="39"/>
  <c r="F13" i="39"/>
  <c r="F14" i="39"/>
  <c r="F3" i="39"/>
  <c r="D4" i="39"/>
  <c r="D5" i="39"/>
  <c r="D6" i="39"/>
  <c r="D7" i="39"/>
  <c r="D8" i="39"/>
  <c r="D9" i="39"/>
  <c r="D10" i="39"/>
  <c r="D11" i="39"/>
  <c r="D12" i="39"/>
  <c r="D13" i="39"/>
  <c r="D14" i="39"/>
  <c r="E4" i="39"/>
  <c r="E5" i="39"/>
  <c r="E6" i="39"/>
  <c r="E7" i="39"/>
  <c r="E8" i="39"/>
  <c r="E9" i="39"/>
  <c r="E10" i="39"/>
  <c r="E11" i="39"/>
  <c r="E12" i="39"/>
  <c r="E13" i="39"/>
  <c r="E14" i="39"/>
  <c r="E3" i="39"/>
  <c r="D3" i="39"/>
  <c r="W43" i="58"/>
  <c r="W44" i="58"/>
  <c r="W45" i="58"/>
  <c r="W46" i="58"/>
  <c r="W47" i="58"/>
  <c r="X67" i="58"/>
  <c r="X68" i="58"/>
  <c r="W50" i="58"/>
  <c r="W51" i="58"/>
  <c r="W52" i="58"/>
  <c r="W53" i="58"/>
  <c r="G15" i="6"/>
  <c r="G14" i="6"/>
  <c r="G13" i="6"/>
  <c r="G12" i="6"/>
  <c r="G11" i="6"/>
  <c r="G10" i="6"/>
  <c r="G9" i="6"/>
  <c r="G8" i="6"/>
  <c r="G7" i="6"/>
  <c r="G6" i="6"/>
  <c r="G5" i="6"/>
  <c r="G4" i="6"/>
  <c r="G5" i="32"/>
  <c r="G6" i="32"/>
  <c r="G7" i="32"/>
  <c r="G8" i="32"/>
  <c r="G9" i="32"/>
  <c r="G10" i="32"/>
  <c r="G11" i="32"/>
  <c r="G12" i="32"/>
  <c r="G13" i="32"/>
  <c r="G14" i="32"/>
  <c r="G15" i="32"/>
  <c r="F5" i="32"/>
  <c r="F6" i="32"/>
  <c r="F7" i="32"/>
  <c r="F8" i="32"/>
  <c r="F9" i="32"/>
  <c r="F10" i="32"/>
  <c r="F11" i="32"/>
  <c r="F12" i="32"/>
  <c r="F13" i="32"/>
  <c r="F14" i="32"/>
  <c r="F15" i="32"/>
  <c r="G4" i="32"/>
  <c r="F4" i="32"/>
  <c r="G5" i="33"/>
  <c r="G6" i="33"/>
  <c r="G7" i="33"/>
  <c r="G8" i="33"/>
  <c r="G9" i="33"/>
  <c r="G10" i="33"/>
  <c r="G11" i="33"/>
  <c r="G12" i="33"/>
  <c r="G13" i="33"/>
  <c r="G14" i="33"/>
  <c r="G15" i="33"/>
  <c r="G4" i="33"/>
  <c r="F5" i="33"/>
  <c r="F6" i="33"/>
  <c r="F7" i="33"/>
  <c r="F8" i="33"/>
  <c r="F9" i="33"/>
  <c r="F10" i="33"/>
  <c r="F11" i="33"/>
  <c r="F12" i="33"/>
  <c r="F13" i="33"/>
  <c r="F14" i="33"/>
  <c r="F15" i="33"/>
  <c r="F4" i="33"/>
  <c r="G15" i="35"/>
  <c r="G14" i="35"/>
  <c r="G13" i="35"/>
  <c r="G12" i="35"/>
  <c r="G11" i="35"/>
  <c r="G10" i="35"/>
  <c r="G9" i="35"/>
  <c r="G8" i="35"/>
  <c r="G7" i="35"/>
  <c r="G6" i="35"/>
  <c r="G5" i="35"/>
  <c r="G4" i="35"/>
  <c r="H4" i="37"/>
  <c r="H15" i="32"/>
  <c r="H14" i="32"/>
  <c r="H13" i="32"/>
  <c r="H12" i="32"/>
  <c r="H11" i="32"/>
  <c r="H10" i="32"/>
  <c r="H9" i="32"/>
  <c r="H8" i="32"/>
  <c r="H7" i="32"/>
  <c r="H6" i="32"/>
  <c r="H5" i="32"/>
  <c r="H4" i="32"/>
  <c r="H15" i="33"/>
  <c r="H14" i="33"/>
  <c r="H13" i="33"/>
  <c r="H12" i="33"/>
  <c r="H11" i="33"/>
  <c r="H10" i="33"/>
  <c r="H9" i="33"/>
  <c r="H8" i="33"/>
  <c r="H7" i="33"/>
  <c r="H6" i="33"/>
  <c r="H5" i="33"/>
  <c r="H4" i="33"/>
  <c r="H15" i="37"/>
  <c r="G15" i="37"/>
  <c r="F15" i="37"/>
  <c r="H14" i="37"/>
  <c r="G14" i="37"/>
  <c r="F14" i="37"/>
  <c r="H13" i="37"/>
  <c r="G13" i="37"/>
  <c r="F13" i="37"/>
  <c r="H12" i="37"/>
  <c r="G12" i="37"/>
  <c r="F12" i="37"/>
  <c r="H11" i="37"/>
  <c r="G11" i="37"/>
  <c r="F11" i="37"/>
  <c r="H10" i="37"/>
  <c r="G10" i="37"/>
  <c r="F10" i="37"/>
  <c r="H9" i="37"/>
  <c r="G9" i="37"/>
  <c r="F9" i="37"/>
  <c r="H8" i="37"/>
  <c r="G8" i="37"/>
  <c r="F8" i="37"/>
  <c r="H7" i="37"/>
  <c r="G7" i="37"/>
  <c r="F7" i="37"/>
  <c r="H6" i="37"/>
  <c r="G6" i="37"/>
  <c r="F6" i="37"/>
  <c r="H5" i="37"/>
  <c r="G5" i="37"/>
  <c r="F5" i="37"/>
  <c r="G4" i="37"/>
  <c r="F4" i="37"/>
  <c r="F5" i="36"/>
  <c r="F6" i="36"/>
  <c r="F7" i="36"/>
  <c r="F8" i="36"/>
  <c r="F9" i="36"/>
  <c r="F10" i="36"/>
  <c r="F11" i="36"/>
  <c r="F12" i="36"/>
  <c r="F13" i="36"/>
  <c r="F14" i="36"/>
  <c r="F15" i="36"/>
  <c r="G5" i="36"/>
  <c r="G6" i="36"/>
  <c r="G7" i="36"/>
  <c r="G8" i="36"/>
  <c r="G9" i="36"/>
  <c r="G10" i="36"/>
  <c r="G11" i="36"/>
  <c r="G12" i="36"/>
  <c r="G13" i="36"/>
  <c r="G14" i="36"/>
  <c r="G15" i="36"/>
  <c r="G4" i="36"/>
  <c r="F4" i="36"/>
  <c r="V80" i="58" s="1"/>
  <c r="H15" i="36"/>
  <c r="H14" i="36"/>
  <c r="H13" i="36"/>
  <c r="H12" i="36"/>
  <c r="H11" i="36"/>
  <c r="H10" i="36"/>
  <c r="H9" i="36"/>
  <c r="H8" i="36"/>
  <c r="H7" i="36"/>
  <c r="H6" i="36"/>
  <c r="H5" i="36"/>
  <c r="H4" i="36"/>
  <c r="F5" i="15"/>
  <c r="F6" i="15"/>
  <c r="F7" i="15"/>
  <c r="F8" i="15"/>
  <c r="F9" i="15"/>
  <c r="F10" i="15"/>
  <c r="F11" i="15"/>
  <c r="F12" i="15"/>
  <c r="F13" i="15"/>
  <c r="F14" i="15"/>
  <c r="F15" i="15"/>
  <c r="F4" i="15"/>
  <c r="G5" i="11"/>
  <c r="G6" i="11"/>
  <c r="G7" i="11"/>
  <c r="G8" i="11"/>
  <c r="G9" i="11"/>
  <c r="G10" i="11"/>
  <c r="G11" i="11"/>
  <c r="G12" i="11"/>
  <c r="G13" i="11"/>
  <c r="G14" i="11"/>
  <c r="G15" i="11"/>
  <c r="G4" i="11"/>
  <c r="F4" i="11"/>
  <c r="F5" i="10"/>
  <c r="F6" i="10"/>
  <c r="F7" i="10"/>
  <c r="F8" i="10"/>
  <c r="F9" i="10"/>
  <c r="F10" i="10"/>
  <c r="F11" i="10"/>
  <c r="F12" i="10"/>
  <c r="F13" i="10"/>
  <c r="F14" i="10"/>
  <c r="F15" i="10"/>
  <c r="E5" i="10"/>
  <c r="E6" i="10"/>
  <c r="E7" i="10"/>
  <c r="E8" i="10"/>
  <c r="E9" i="10"/>
  <c r="E10" i="10"/>
  <c r="E11" i="10"/>
  <c r="E12" i="10"/>
  <c r="E13" i="10"/>
  <c r="E14" i="10"/>
  <c r="E15" i="10"/>
  <c r="F4" i="10"/>
  <c r="E4" i="10"/>
  <c r="F5" i="11"/>
  <c r="G16" i="25"/>
  <c r="G15" i="25"/>
  <c r="G14" i="25"/>
  <c r="G13" i="25"/>
  <c r="G12" i="25"/>
  <c r="G11" i="25"/>
  <c r="G10" i="25"/>
  <c r="G9" i="25"/>
  <c r="G8" i="25"/>
  <c r="G7" i="25"/>
  <c r="G6" i="25"/>
  <c r="G5" i="25"/>
  <c r="K16" i="45"/>
  <c r="K15" i="45"/>
  <c r="K14" i="45"/>
  <c r="K13" i="45"/>
  <c r="K12" i="45"/>
  <c r="K11" i="45"/>
  <c r="K10" i="45"/>
  <c r="K9" i="45"/>
  <c r="K8" i="45"/>
  <c r="K7" i="45"/>
  <c r="K6" i="45"/>
  <c r="K5" i="45"/>
  <c r="K16" i="44"/>
  <c r="K15" i="44"/>
  <c r="K14" i="44"/>
  <c r="K13" i="44"/>
  <c r="K12" i="44"/>
  <c r="K11" i="44"/>
  <c r="K10" i="44"/>
  <c r="K9" i="44"/>
  <c r="K8" i="44"/>
  <c r="K7" i="44"/>
  <c r="K6" i="44"/>
  <c r="K5" i="44"/>
  <c r="F16" i="2"/>
  <c r="F15" i="2"/>
  <c r="F14" i="2"/>
  <c r="F13" i="2"/>
  <c r="F12" i="2"/>
  <c r="F11" i="2"/>
  <c r="F10" i="2"/>
  <c r="F9" i="2"/>
  <c r="F8" i="2"/>
  <c r="F7" i="2"/>
  <c r="F6" i="2"/>
  <c r="F5" i="2"/>
  <c r="F16" i="27"/>
  <c r="F15" i="27"/>
  <c r="F14" i="27"/>
  <c r="F13" i="27"/>
  <c r="F12" i="27"/>
  <c r="F11" i="27"/>
  <c r="F10" i="27"/>
  <c r="F9" i="27"/>
  <c r="F8" i="27"/>
  <c r="F7" i="27"/>
  <c r="F6" i="27"/>
  <c r="F5" i="27"/>
  <c r="F16" i="28"/>
  <c r="F15" i="28"/>
  <c r="F14" i="28"/>
  <c r="F13" i="28"/>
  <c r="F12" i="28"/>
  <c r="F11" i="28"/>
  <c r="F10" i="28"/>
  <c r="F9" i="28"/>
  <c r="F8" i="28"/>
  <c r="F7" i="28"/>
  <c r="F6" i="28"/>
  <c r="F5" i="28"/>
  <c r="F16" i="29"/>
  <c r="F15" i="29"/>
  <c r="F14" i="29"/>
  <c r="F13" i="29"/>
  <c r="F12" i="29"/>
  <c r="F11" i="29"/>
  <c r="F10" i="29"/>
  <c r="F9" i="29"/>
  <c r="F8" i="29"/>
  <c r="F7" i="29"/>
  <c r="F6" i="29"/>
  <c r="F5" i="29"/>
  <c r="F16" i="30"/>
  <c r="F15" i="30"/>
  <c r="F13" i="30"/>
  <c r="F12" i="30"/>
  <c r="F11" i="30"/>
  <c r="F10" i="30"/>
  <c r="F8" i="30"/>
  <c r="F6" i="30"/>
  <c r="F5" i="30"/>
  <c r="F14" i="30"/>
  <c r="F9" i="30"/>
  <c r="F7" i="30"/>
  <c r="F6" i="11"/>
  <c r="F7" i="11"/>
  <c r="F8" i="11"/>
  <c r="F9" i="11"/>
  <c r="F10" i="11"/>
  <c r="F11" i="11"/>
  <c r="F12" i="11"/>
  <c r="F13" i="11"/>
  <c r="F14" i="11"/>
  <c r="F15" i="11"/>
  <c r="E5" i="11"/>
  <c r="E6" i="11"/>
  <c r="E7" i="11"/>
  <c r="AB7" i="58" s="1"/>
  <c r="E8" i="11"/>
  <c r="E9" i="11"/>
  <c r="E10" i="11"/>
  <c r="E11" i="11"/>
  <c r="E12" i="11"/>
  <c r="E13" i="11"/>
  <c r="E14" i="11"/>
  <c r="E15" i="11"/>
  <c r="AB15" i="58" s="1"/>
  <c r="E4" i="11"/>
  <c r="F6" i="25"/>
  <c r="G6" i="15"/>
  <c r="L6" i="58" s="1"/>
  <c r="G7" i="15"/>
  <c r="L7" i="58" s="1"/>
  <c r="G8" i="15"/>
  <c r="L8" i="58" s="1"/>
  <c r="F10" i="7"/>
  <c r="F11" i="7"/>
  <c r="F12" i="7"/>
  <c r="F13" i="7"/>
  <c r="F14" i="7"/>
  <c r="F15" i="7"/>
  <c r="H16" i="38"/>
  <c r="F5" i="7"/>
  <c r="C18" i="7"/>
  <c r="F41" i="60" l="1"/>
  <c r="D41" i="60"/>
  <c r="C41" i="60"/>
  <c r="F40" i="60"/>
  <c r="D40" i="60"/>
  <c r="C40" i="60"/>
  <c r="F39" i="60"/>
  <c r="D39" i="60"/>
  <c r="C39" i="60"/>
  <c r="F38" i="60"/>
  <c r="D38" i="60"/>
  <c r="C38" i="60"/>
  <c r="F37" i="60"/>
  <c r="D37" i="60"/>
  <c r="C37" i="60"/>
  <c r="F36" i="60"/>
  <c r="D36" i="60"/>
  <c r="C36" i="60"/>
  <c r="F35" i="60"/>
  <c r="D35" i="60"/>
  <c r="C35" i="60"/>
  <c r="F34" i="60"/>
  <c r="D34" i="60"/>
  <c r="C34" i="60"/>
  <c r="F33" i="60"/>
  <c r="D33" i="60"/>
  <c r="C33" i="60"/>
  <c r="F32" i="60"/>
  <c r="D32" i="60"/>
  <c r="C32" i="60"/>
  <c r="F31" i="60"/>
  <c r="D31" i="60"/>
  <c r="C31" i="60"/>
  <c r="F30" i="60"/>
  <c r="D30" i="60"/>
  <c r="C30" i="60"/>
  <c r="F29" i="60"/>
  <c r="D29" i="60"/>
  <c r="C29" i="60"/>
  <c r="B21" i="60"/>
  <c r="F28" i="60"/>
  <c r="D28" i="60"/>
  <c r="C28" i="60"/>
  <c r="F27" i="60"/>
  <c r="D27" i="60"/>
  <c r="C27" i="60"/>
  <c r="F26" i="60"/>
  <c r="D26" i="60"/>
  <c r="C26" i="60"/>
  <c r="F25" i="60"/>
  <c r="D25" i="60"/>
  <c r="C25" i="60"/>
  <c r="F24" i="60"/>
  <c r="D24" i="60"/>
  <c r="C24" i="60"/>
  <c r="F23" i="60"/>
  <c r="D23" i="60"/>
  <c r="C23" i="60"/>
  <c r="F22" i="60"/>
  <c r="D22" i="60"/>
  <c r="C22" i="60"/>
  <c r="F21" i="60"/>
  <c r="D21" i="60"/>
  <c r="C21" i="60"/>
  <c r="G41" i="7"/>
  <c r="G35" i="7"/>
  <c r="G36" i="7"/>
  <c r="G37" i="7"/>
  <c r="G38" i="7"/>
  <c r="G39" i="7"/>
  <c r="G40" i="7"/>
  <c r="H25" i="38"/>
  <c r="O80" i="58"/>
  <c r="U42" i="58"/>
  <c r="AE23" i="58"/>
  <c r="M25" i="50"/>
  <c r="M26" i="50"/>
  <c r="M27" i="50"/>
  <c r="M28" i="50"/>
  <c r="M29" i="50"/>
  <c r="M30" i="50"/>
  <c r="M31" i="50"/>
  <c r="M32" i="50"/>
  <c r="M33" i="50"/>
  <c r="M34" i="50"/>
  <c r="M35" i="50"/>
  <c r="L25" i="50"/>
  <c r="L26" i="50"/>
  <c r="L27" i="50"/>
  <c r="L28" i="50"/>
  <c r="L29" i="50"/>
  <c r="L30" i="50"/>
  <c r="L31" i="50"/>
  <c r="L32" i="50"/>
  <c r="L33" i="50"/>
  <c r="L34" i="50"/>
  <c r="L35" i="50"/>
  <c r="M24" i="50"/>
  <c r="L24" i="50"/>
  <c r="L30" i="52"/>
  <c r="L29" i="52"/>
  <c r="L28" i="52"/>
  <c r="L27" i="52"/>
  <c r="L26" i="52"/>
  <c r="L25" i="52"/>
  <c r="L24" i="52"/>
  <c r="L23" i="52"/>
  <c r="L22" i="52"/>
  <c r="L21" i="52"/>
  <c r="L20" i="52"/>
  <c r="L19" i="52"/>
  <c r="K19" i="52"/>
  <c r="H23" i="58" s="1"/>
  <c r="K30" i="52"/>
  <c r="H34" i="58" s="1"/>
  <c r="K29" i="52"/>
  <c r="H33" i="58" s="1"/>
  <c r="K28" i="52"/>
  <c r="H32" i="58" s="1"/>
  <c r="K27" i="52"/>
  <c r="H31" i="58" s="1"/>
  <c r="K26" i="52"/>
  <c r="H30" i="58" s="1"/>
  <c r="K25" i="52"/>
  <c r="H29" i="58" s="1"/>
  <c r="K24" i="52"/>
  <c r="H28" i="58" s="1"/>
  <c r="K23" i="52"/>
  <c r="H27" i="58" s="1"/>
  <c r="K22" i="52"/>
  <c r="H26" i="58" s="1"/>
  <c r="K21" i="52"/>
  <c r="H25" i="58" s="1"/>
  <c r="K20" i="52"/>
  <c r="H24" i="58" s="1"/>
  <c r="L3" i="52"/>
  <c r="K4" i="52"/>
  <c r="K5" i="52"/>
  <c r="K6" i="52"/>
  <c r="K7" i="52"/>
  <c r="K8" i="52"/>
  <c r="K9" i="52"/>
  <c r="K10" i="52"/>
  <c r="K11" i="52"/>
  <c r="K12" i="52"/>
  <c r="K13" i="52"/>
  <c r="K14" i="52"/>
  <c r="K3" i="52"/>
  <c r="G23" i="58" s="1"/>
  <c r="M8" i="50"/>
  <c r="L8" i="50"/>
  <c r="M24" i="51"/>
  <c r="M8" i="51"/>
  <c r="L24" i="51"/>
  <c r="L8" i="51"/>
  <c r="M53" i="58"/>
  <c r="Y34" i="58"/>
  <c r="E15" i="25"/>
  <c r="H35" i="38"/>
  <c r="O90" i="58"/>
  <c r="U52" i="58"/>
  <c r="AE33" i="58"/>
  <c r="L13" i="52"/>
  <c r="M18" i="50"/>
  <c r="L18" i="50"/>
  <c r="M34" i="51"/>
  <c r="L34" i="51"/>
  <c r="M18" i="51"/>
  <c r="L18" i="51"/>
  <c r="G13" i="15"/>
  <c r="L13" i="58" s="1"/>
  <c r="H34" i="38"/>
  <c r="O89" i="58"/>
  <c r="U51" i="58"/>
  <c r="AE32" i="58"/>
  <c r="L12" i="52"/>
  <c r="M17" i="50"/>
  <c r="L17" i="50"/>
  <c r="M33" i="51"/>
  <c r="L33" i="51"/>
  <c r="M17" i="51"/>
  <c r="L17" i="51"/>
  <c r="H13" i="38"/>
  <c r="H33" i="38"/>
  <c r="O88" i="58"/>
  <c r="U50" i="58"/>
  <c r="AE31" i="58"/>
  <c r="L11" i="52"/>
  <c r="M16" i="50"/>
  <c r="L16" i="50"/>
  <c r="M32" i="51"/>
  <c r="L32" i="51"/>
  <c r="M16" i="51"/>
  <c r="L16" i="51"/>
  <c r="F10" i="5"/>
  <c r="H32" i="38"/>
  <c r="O87" i="58"/>
  <c r="U49" i="58"/>
  <c r="AE30" i="58"/>
  <c r="L10" i="52"/>
  <c r="M15" i="50"/>
  <c r="L15" i="50"/>
  <c r="M31" i="51"/>
  <c r="L31" i="51"/>
  <c r="M15" i="51"/>
  <c r="L15" i="51"/>
  <c r="F9" i="5"/>
  <c r="H31" i="38"/>
  <c r="O86" i="58"/>
  <c r="U48" i="58"/>
  <c r="AE29" i="58"/>
  <c r="L9" i="52"/>
  <c r="M14" i="50"/>
  <c r="L14" i="50"/>
  <c r="M30" i="51"/>
  <c r="L30" i="51"/>
  <c r="M14" i="51"/>
  <c r="L14" i="51"/>
  <c r="E10" i="25"/>
  <c r="H30" i="38"/>
  <c r="O85" i="58"/>
  <c r="U47" i="58"/>
  <c r="AE28" i="58"/>
  <c r="L8" i="52"/>
  <c r="M13" i="50"/>
  <c r="L13" i="50"/>
  <c r="M29" i="51"/>
  <c r="L29" i="51"/>
  <c r="M13" i="51"/>
  <c r="L13" i="51"/>
  <c r="V91" i="58"/>
  <c r="V90" i="58"/>
  <c r="S34" i="58"/>
  <c r="Q15" i="58"/>
  <c r="S33" i="58"/>
  <c r="Q14" i="58"/>
  <c r="H36" i="38"/>
  <c r="O91" i="58"/>
  <c r="U53" i="58"/>
  <c r="AE34" i="58"/>
  <c r="L14" i="52"/>
  <c r="M19" i="50"/>
  <c r="L19" i="50"/>
  <c r="M35" i="51"/>
  <c r="L35" i="51"/>
  <c r="M19" i="51"/>
  <c r="L19" i="51"/>
  <c r="H29" i="38"/>
  <c r="O84" i="58"/>
  <c r="U46" i="58"/>
  <c r="AE27" i="58"/>
  <c r="L7" i="52"/>
  <c r="M12" i="50"/>
  <c r="L12" i="50"/>
  <c r="M28" i="51"/>
  <c r="L28" i="51"/>
  <c r="M12" i="51"/>
  <c r="L12" i="51"/>
  <c r="H28" i="38"/>
  <c r="O83" i="58"/>
  <c r="U45" i="58"/>
  <c r="AE26" i="58"/>
  <c r="L6" i="52"/>
  <c r="M11" i="50"/>
  <c r="L11" i="50"/>
  <c r="M27" i="51"/>
  <c r="L27" i="51"/>
  <c r="M11" i="51"/>
  <c r="L11" i="51"/>
  <c r="H27" i="38"/>
  <c r="O82" i="58"/>
  <c r="U44" i="58"/>
  <c r="AE25" i="58"/>
  <c r="L5" i="52"/>
  <c r="M10" i="50"/>
  <c r="L10" i="50"/>
  <c r="M26" i="51"/>
  <c r="L26" i="51"/>
  <c r="M10" i="51"/>
  <c r="L10" i="51"/>
  <c r="H26" i="38"/>
  <c r="O81" i="58"/>
  <c r="U43" i="58"/>
  <c r="AE24" i="58"/>
  <c r="L4" i="52"/>
  <c r="M9" i="50"/>
  <c r="L9" i="50"/>
  <c r="M25" i="51"/>
  <c r="L25" i="51"/>
  <c r="M9" i="51"/>
  <c r="L9" i="51"/>
  <c r="G21" i="7"/>
  <c r="V85" i="58"/>
  <c r="V84" i="58"/>
  <c r="V83" i="58"/>
  <c r="S28" i="58"/>
  <c r="Q9" i="58"/>
  <c r="S27" i="58"/>
  <c r="Q8" i="58"/>
  <c r="S26" i="58"/>
  <c r="Q7" i="58"/>
  <c r="V81" i="58"/>
  <c r="S24" i="58"/>
  <c r="Q5" i="58"/>
  <c r="V82" i="58"/>
  <c r="S25" i="58"/>
  <c r="Q6" i="58"/>
  <c r="V89" i="58"/>
  <c r="S32" i="58"/>
  <c r="Q13" i="58"/>
  <c r="V88" i="58"/>
  <c r="S31" i="58"/>
  <c r="Q12" i="58"/>
  <c r="V87" i="58"/>
  <c r="S30" i="58"/>
  <c r="Q11" i="58"/>
  <c r="V86" i="58"/>
  <c r="V93" i="58" s="1"/>
  <c r="S29" i="58"/>
  <c r="Q10" i="58"/>
  <c r="M6" i="13"/>
  <c r="X37" i="58"/>
  <c r="D105" i="8" s="1"/>
  <c r="T75" i="58"/>
  <c r="D15" i="8" s="1"/>
  <c r="O56" i="58"/>
  <c r="D84" i="8" s="1"/>
  <c r="H18" i="58"/>
  <c r="D41" i="8" s="1"/>
  <c r="W18" i="58"/>
  <c r="D50" i="8" s="1"/>
  <c r="AA37" i="58"/>
  <c r="D114" i="8" s="1"/>
  <c r="L37" i="58"/>
  <c r="D60" i="8" s="1"/>
  <c r="Z56" i="58"/>
  <c r="D26" i="8" s="1"/>
  <c r="AC75" i="58"/>
  <c r="D25" i="8" s="1"/>
  <c r="Q94" i="58"/>
  <c r="D74" i="8" s="1"/>
  <c r="H94" i="58"/>
  <c r="D64" i="8" s="1"/>
  <c r="I94" i="58"/>
  <c r="D63" i="8" s="1"/>
  <c r="L75" i="58"/>
  <c r="D9" i="8" s="1"/>
  <c r="M75" i="58"/>
  <c r="D8" i="8" s="1"/>
  <c r="H56" i="58"/>
  <c r="D78" i="8" s="1"/>
  <c r="I56" i="58"/>
  <c r="D77" i="8" s="1"/>
  <c r="R37" i="58"/>
  <c r="D99" i="8" s="1"/>
  <c r="E4" i="58"/>
  <c r="V94" i="58"/>
  <c r="D28" i="8" s="1"/>
  <c r="S23" i="58"/>
  <c r="S36" i="58" s="1"/>
  <c r="Q4" i="58"/>
  <c r="Q17" i="58"/>
  <c r="P17" i="58"/>
  <c r="G22" i="7"/>
  <c r="G28" i="7"/>
  <c r="G29" i="7"/>
  <c r="G30" i="7"/>
  <c r="G31" i="7"/>
  <c r="G32" i="7"/>
  <c r="G33" i="7"/>
  <c r="G34" i="7"/>
  <c r="G23" i="7"/>
  <c r="G24" i="7"/>
  <c r="G25" i="7"/>
  <c r="G26" i="7"/>
  <c r="G27" i="7"/>
  <c r="AB14" i="58"/>
  <c r="AB4" i="58"/>
  <c r="AB6" i="58"/>
  <c r="AC9" i="58"/>
  <c r="AB12" i="58"/>
  <c r="K64" i="58"/>
  <c r="G53" i="58"/>
  <c r="AB13" i="58"/>
  <c r="AB5" i="58"/>
  <c r="E69" i="58"/>
  <c r="G50" i="58"/>
  <c r="G87" i="58"/>
  <c r="E5" i="58"/>
  <c r="E8" i="58"/>
  <c r="H9" i="38"/>
  <c r="AB8" i="58"/>
  <c r="K68" i="58"/>
  <c r="G88" i="58"/>
  <c r="AC11" i="58"/>
  <c r="E64" i="58"/>
  <c r="E7" i="58"/>
  <c r="G91" i="58"/>
  <c r="F10" i="13"/>
  <c r="O29" i="58" s="1"/>
  <c r="E12" i="58"/>
  <c r="E11" i="58"/>
  <c r="G85" i="58"/>
  <c r="X61" i="58"/>
  <c r="AC48" i="58"/>
  <c r="AB10" i="58"/>
  <c r="AB11" i="58"/>
  <c r="AB9" i="58"/>
  <c r="G89" i="58"/>
  <c r="AC12" i="58"/>
  <c r="E61" i="58"/>
  <c r="E65" i="58"/>
  <c r="W49" i="58"/>
  <c r="X66" i="58"/>
  <c r="W48" i="58"/>
  <c r="X65" i="58"/>
  <c r="X72" i="58"/>
  <c r="X64" i="58"/>
  <c r="AC4" i="58"/>
  <c r="AC8" i="58"/>
  <c r="G83" i="58"/>
  <c r="AC14" i="58"/>
  <c r="AC6" i="58"/>
  <c r="X71" i="58"/>
  <c r="X63" i="58"/>
  <c r="G80" i="58"/>
  <c r="G84" i="58"/>
  <c r="AC15" i="58"/>
  <c r="AC7" i="58"/>
  <c r="AC49" i="58"/>
  <c r="G90" i="58"/>
  <c r="G82" i="58"/>
  <c r="AC13" i="58"/>
  <c r="AC5" i="58"/>
  <c r="E66" i="58"/>
  <c r="X70" i="58"/>
  <c r="X62" i="58"/>
  <c r="X69" i="58"/>
  <c r="AC10" i="58"/>
  <c r="AC53" i="58"/>
  <c r="AC52" i="58"/>
  <c r="AC44" i="58"/>
  <c r="E70" i="58"/>
  <c r="E62" i="58"/>
  <c r="G46" i="58"/>
  <c r="G44" i="58"/>
  <c r="G52" i="58"/>
  <c r="G47" i="58"/>
  <c r="K67" i="58"/>
  <c r="K63" i="58"/>
  <c r="K62" i="58"/>
  <c r="K70" i="58"/>
  <c r="G45" i="58"/>
  <c r="G81" i="58"/>
  <c r="G86" i="58"/>
  <c r="E72" i="58"/>
  <c r="R72" i="58"/>
  <c r="M46" i="58"/>
  <c r="K72" i="58"/>
  <c r="E15" i="58"/>
  <c r="K71" i="58"/>
  <c r="E71" i="58"/>
  <c r="E14" i="58"/>
  <c r="AC51" i="58"/>
  <c r="E13" i="58"/>
  <c r="G51" i="58"/>
  <c r="K69" i="58"/>
  <c r="M50" i="58"/>
  <c r="AC50" i="58"/>
  <c r="G49" i="58"/>
  <c r="E68" i="58"/>
  <c r="E67" i="58"/>
  <c r="E10" i="58"/>
  <c r="G48" i="58"/>
  <c r="K66" i="58"/>
  <c r="AC47" i="58"/>
  <c r="E9" i="58"/>
  <c r="K65" i="58"/>
  <c r="AC46" i="58"/>
  <c r="AC45" i="58"/>
  <c r="E63" i="58"/>
  <c r="E6" i="58"/>
  <c r="AC43" i="58"/>
  <c r="G43" i="58"/>
  <c r="G4" i="15"/>
  <c r="L4" i="58" s="1"/>
  <c r="K61" i="58"/>
  <c r="G42" i="58"/>
  <c r="AC42" i="58"/>
  <c r="AD17" i="58"/>
  <c r="AD36" i="58"/>
  <c r="V36" i="58"/>
  <c r="N93" i="58"/>
  <c r="F93" i="58"/>
  <c r="F55" i="58"/>
  <c r="AA74" i="58"/>
  <c r="Q55" i="58"/>
  <c r="AF36" i="58"/>
  <c r="V55" i="58"/>
  <c r="T55" i="58"/>
  <c r="K17" i="58"/>
  <c r="F36" i="58"/>
  <c r="W93" i="58"/>
  <c r="L55" i="58"/>
  <c r="M93" i="58"/>
  <c r="Q74" i="58"/>
  <c r="R17" i="58"/>
  <c r="P36" i="58"/>
  <c r="F17" i="58"/>
  <c r="G9" i="46"/>
  <c r="H13" i="46"/>
  <c r="H5" i="46"/>
  <c r="G6" i="49"/>
  <c r="G10" i="49"/>
  <c r="G14" i="49"/>
  <c r="H5" i="48"/>
  <c r="H9" i="48"/>
  <c r="H13" i="48"/>
  <c r="G4" i="48"/>
  <c r="H7" i="47"/>
  <c r="H11" i="47"/>
  <c r="H15" i="47"/>
  <c r="F6" i="4"/>
  <c r="F10" i="4"/>
  <c r="F14" i="4"/>
  <c r="E15" i="14"/>
  <c r="E7" i="14"/>
  <c r="F11" i="14"/>
  <c r="F13" i="42"/>
  <c r="F5" i="42"/>
  <c r="G9" i="42"/>
  <c r="E18" i="41"/>
  <c r="E10" i="41"/>
  <c r="F14" i="41"/>
  <c r="F14" i="40"/>
  <c r="F6" i="40"/>
  <c r="G10" i="40"/>
  <c r="G4" i="46"/>
  <c r="G8" i="46"/>
  <c r="H12" i="46"/>
  <c r="H6" i="49"/>
  <c r="H10" i="49"/>
  <c r="H14" i="49"/>
  <c r="G6" i="48"/>
  <c r="G10" i="48"/>
  <c r="G14" i="48"/>
  <c r="H4" i="48"/>
  <c r="G8" i="47"/>
  <c r="G12" i="47"/>
  <c r="E7" i="4"/>
  <c r="E11" i="4"/>
  <c r="E15" i="4"/>
  <c r="E14" i="14"/>
  <c r="E6" i="14"/>
  <c r="F10" i="14"/>
  <c r="F12" i="42"/>
  <c r="F4" i="42"/>
  <c r="G8" i="42"/>
  <c r="E17" i="41"/>
  <c r="E9" i="41"/>
  <c r="F13" i="41"/>
  <c r="F13" i="40"/>
  <c r="F5" i="40"/>
  <c r="G9" i="40"/>
  <c r="G15" i="46"/>
  <c r="G7" i="46"/>
  <c r="H11" i="46"/>
  <c r="G7" i="49"/>
  <c r="G11" i="49"/>
  <c r="G15" i="49"/>
  <c r="H6" i="48"/>
  <c r="H10" i="48"/>
  <c r="H14" i="48"/>
  <c r="H4" i="47"/>
  <c r="H8" i="47"/>
  <c r="H12" i="47"/>
  <c r="G4" i="47"/>
  <c r="F7" i="4"/>
  <c r="F11" i="4"/>
  <c r="F15" i="4"/>
  <c r="E13" i="14"/>
  <c r="F5" i="14"/>
  <c r="F9" i="14"/>
  <c r="F11" i="42"/>
  <c r="G3" i="42"/>
  <c r="G7" i="42"/>
  <c r="E16" i="41"/>
  <c r="F8" i="41"/>
  <c r="F12" i="41"/>
  <c r="F12" i="40"/>
  <c r="G4" i="40"/>
  <c r="G8" i="40"/>
  <c r="G14" i="46"/>
  <c r="G6" i="46"/>
  <c r="H10" i="46"/>
  <c r="H7" i="49"/>
  <c r="H11" i="49"/>
  <c r="H15" i="49"/>
  <c r="G7" i="48"/>
  <c r="G11" i="48"/>
  <c r="G15" i="48"/>
  <c r="G5" i="47"/>
  <c r="G9" i="47"/>
  <c r="G13" i="47"/>
  <c r="E4" i="4"/>
  <c r="E8" i="4"/>
  <c r="E12" i="4"/>
  <c r="E12" i="14"/>
  <c r="F16" i="14"/>
  <c r="F8" i="14"/>
  <c r="F10" i="42"/>
  <c r="G14" i="42"/>
  <c r="G6" i="42"/>
  <c r="E15" i="41"/>
  <c r="F19" i="41"/>
  <c r="F11" i="41"/>
  <c r="F11" i="40"/>
  <c r="G15" i="40"/>
  <c r="G7" i="40"/>
  <c r="G13" i="46"/>
  <c r="G5" i="46"/>
  <c r="H9" i="46"/>
  <c r="G4" i="49"/>
  <c r="G8" i="49"/>
  <c r="G12" i="49"/>
  <c r="H7" i="48"/>
  <c r="H11" i="48"/>
  <c r="H15" i="48"/>
  <c r="H5" i="47"/>
  <c r="H9" i="47"/>
  <c r="H13" i="47"/>
  <c r="F4" i="4"/>
  <c r="F8" i="4"/>
  <c r="F12" i="4"/>
  <c r="E11" i="14"/>
  <c r="F15" i="14"/>
  <c r="F7" i="14"/>
  <c r="F9" i="42"/>
  <c r="G13" i="42"/>
  <c r="G5" i="42"/>
  <c r="E14" i="41"/>
  <c r="F18" i="41"/>
  <c r="F10" i="41"/>
  <c r="F10" i="40"/>
  <c r="G14" i="40"/>
  <c r="G6" i="40"/>
  <c r="G12" i="46"/>
  <c r="H4" i="46"/>
  <c r="H8" i="46"/>
  <c r="H4" i="49"/>
  <c r="H8" i="49"/>
  <c r="H12" i="49"/>
  <c r="G8" i="48"/>
  <c r="G12" i="48"/>
  <c r="G6" i="47"/>
  <c r="G10" i="47"/>
  <c r="G14" i="47"/>
  <c r="E5" i="4"/>
  <c r="E9" i="4"/>
  <c r="E13" i="4"/>
  <c r="E10" i="14"/>
  <c r="F14" i="14"/>
  <c r="F6" i="14"/>
  <c r="F8" i="42"/>
  <c r="G12" i="42"/>
  <c r="G4" i="42"/>
  <c r="E13" i="41"/>
  <c r="F17" i="41"/>
  <c r="F9" i="41"/>
  <c r="F9" i="40"/>
  <c r="G13" i="40"/>
  <c r="G5" i="40"/>
  <c r="G11" i="46"/>
  <c r="H15" i="46"/>
  <c r="H7" i="46"/>
  <c r="G5" i="49"/>
  <c r="G9" i="49"/>
  <c r="G13" i="49"/>
  <c r="H8" i="48"/>
  <c r="H12" i="48"/>
  <c r="H6" i="47"/>
  <c r="H10" i="47"/>
  <c r="H14" i="47"/>
  <c r="F5" i="4"/>
  <c r="F9" i="4"/>
  <c r="F13" i="4"/>
  <c r="E5" i="14"/>
  <c r="E9" i="14"/>
  <c r="F13" i="14"/>
  <c r="F3" i="42"/>
  <c r="F7" i="42"/>
  <c r="G11" i="42"/>
  <c r="E8" i="41"/>
  <c r="E12" i="41"/>
  <c r="F16" i="41"/>
  <c r="F4" i="40"/>
  <c r="F8" i="40"/>
  <c r="G12" i="40"/>
  <c r="G10" i="46"/>
  <c r="H14" i="46"/>
  <c r="H6" i="46"/>
  <c r="H5" i="49"/>
  <c r="H9" i="49"/>
  <c r="H13" i="49"/>
  <c r="G5" i="48"/>
  <c r="G9" i="48"/>
  <c r="G13" i="48"/>
  <c r="G7" i="47"/>
  <c r="G11" i="47"/>
  <c r="G15" i="47"/>
  <c r="E6" i="4"/>
  <c r="E10" i="4"/>
  <c r="E14" i="4"/>
  <c r="E16" i="14"/>
  <c r="E8" i="14"/>
  <c r="F12" i="14"/>
  <c r="F14" i="42"/>
  <c r="F6" i="42"/>
  <c r="G10" i="42"/>
  <c r="E19" i="41"/>
  <c r="E11" i="41"/>
  <c r="F15" i="41"/>
  <c r="F15" i="40"/>
  <c r="F7" i="40"/>
  <c r="G11" i="40"/>
  <c r="F13" i="5"/>
  <c r="H7" i="45"/>
  <c r="G63" i="58" s="1"/>
  <c r="G13" i="12"/>
  <c r="H12" i="38"/>
  <c r="Y30" i="58" s="1"/>
  <c r="F7" i="25"/>
  <c r="H5" i="44"/>
  <c r="AD42" i="58" s="1"/>
  <c r="H7" i="44"/>
  <c r="AD44" i="58" s="1"/>
  <c r="H7" i="38"/>
  <c r="Y25" i="58" s="1"/>
  <c r="F11" i="5"/>
  <c r="H13" i="44"/>
  <c r="AD50" i="58" s="1"/>
  <c r="F5" i="5"/>
  <c r="G15" i="15"/>
  <c r="L15" i="58" s="1"/>
  <c r="G14" i="15"/>
  <c r="L14" i="58" s="1"/>
  <c r="G12" i="15"/>
  <c r="L12" i="58" s="1"/>
  <c r="E13" i="25"/>
  <c r="G11" i="15"/>
  <c r="L11" i="58" s="1"/>
  <c r="H12" i="45"/>
  <c r="G68" i="58" s="1"/>
  <c r="E7" i="25"/>
  <c r="E11" i="5"/>
  <c r="H13" i="45"/>
  <c r="G69" i="58" s="1"/>
  <c r="F13" i="25"/>
  <c r="E5" i="5"/>
  <c r="E14" i="25"/>
  <c r="F12" i="5"/>
  <c r="H14" i="44"/>
  <c r="AD51" i="58" s="1"/>
  <c r="H14" i="45"/>
  <c r="G70" i="58" s="1"/>
  <c r="H14" i="38"/>
  <c r="Y32" i="58" s="1"/>
  <c r="E12" i="5"/>
  <c r="F14" i="25"/>
  <c r="F15" i="25"/>
  <c r="P52" i="58" s="1"/>
  <c r="H15" i="45"/>
  <c r="G71" i="58" s="1"/>
  <c r="H15" i="38"/>
  <c r="Y33" i="58" s="1"/>
  <c r="H15" i="44"/>
  <c r="AD52" i="58" s="1"/>
  <c r="E13" i="5"/>
  <c r="E14" i="5"/>
  <c r="H16" i="44"/>
  <c r="AD53" i="58" s="1"/>
  <c r="F16" i="25"/>
  <c r="H16" i="45"/>
  <c r="G72" i="58" s="1"/>
  <c r="F14" i="5"/>
  <c r="E16" i="25"/>
  <c r="H10" i="44"/>
  <c r="AD47" i="58" s="1"/>
  <c r="H10" i="38"/>
  <c r="Y28" i="58" s="1"/>
  <c r="F8" i="5"/>
  <c r="G9" i="15"/>
  <c r="L9" i="58" s="1"/>
  <c r="E8" i="5"/>
  <c r="F10" i="25"/>
  <c r="P47" i="58" s="1"/>
  <c r="H10" i="45"/>
  <c r="G66" i="58" s="1"/>
  <c r="F7" i="5"/>
  <c r="E9" i="25"/>
  <c r="E7" i="5"/>
  <c r="H9" i="44"/>
  <c r="AD46" i="58" s="1"/>
  <c r="F9" i="25"/>
  <c r="H9" i="45"/>
  <c r="G65" i="58" s="1"/>
  <c r="H12" i="44"/>
  <c r="AD49" i="58" s="1"/>
  <c r="E12" i="25"/>
  <c r="F12" i="25"/>
  <c r="E10" i="5"/>
  <c r="H6" i="45"/>
  <c r="G62" i="58" s="1"/>
  <c r="E4" i="5"/>
  <c r="G5" i="15"/>
  <c r="L5" i="58" s="1"/>
  <c r="H6" i="44"/>
  <c r="AD43" i="58" s="1"/>
  <c r="F4" i="5"/>
  <c r="E6" i="25"/>
  <c r="H6" i="38"/>
  <c r="Y24" i="58" s="1"/>
  <c r="E3" i="5"/>
  <c r="F5" i="25"/>
  <c r="H5" i="38"/>
  <c r="Y23" i="58" s="1"/>
  <c r="F3" i="5"/>
  <c r="H5" i="45"/>
  <c r="G61" i="58" s="1"/>
  <c r="H8" i="45"/>
  <c r="G64" i="58" s="1"/>
  <c r="F8" i="25"/>
  <c r="H8" i="38"/>
  <c r="Y26" i="58" s="1"/>
  <c r="H8" i="44"/>
  <c r="AD45" i="58" s="1"/>
  <c r="E11" i="25"/>
  <c r="G10" i="15"/>
  <c r="L10" i="58" s="1"/>
  <c r="H11" i="44"/>
  <c r="AD48" i="58" s="1"/>
  <c r="F6" i="35"/>
  <c r="E25" i="58" s="1"/>
  <c r="F4" i="35"/>
  <c r="E23" i="58" s="1"/>
  <c r="F11" i="25"/>
  <c r="H11" i="38"/>
  <c r="Y29" i="58" s="1"/>
  <c r="H11" i="45"/>
  <c r="G67" i="58" s="1"/>
  <c r="F14" i="35"/>
  <c r="E33" i="58" s="1"/>
  <c r="F12" i="35"/>
  <c r="E31" i="58" s="1"/>
  <c r="E9" i="5"/>
  <c r="F11" i="35"/>
  <c r="E30" i="58" s="1"/>
  <c r="F5" i="6"/>
  <c r="J5" i="58" s="1"/>
  <c r="F9" i="6"/>
  <c r="J9" i="58" s="1"/>
  <c r="F13" i="6"/>
  <c r="J13" i="58" s="1"/>
  <c r="F6" i="5"/>
  <c r="F10" i="35"/>
  <c r="E29" i="58" s="1"/>
  <c r="F4" i="13"/>
  <c r="O23" i="58" s="1"/>
  <c r="F9" i="35"/>
  <c r="E28" i="58" s="1"/>
  <c r="F6" i="6"/>
  <c r="J6" i="58" s="1"/>
  <c r="F10" i="6"/>
  <c r="J10" i="58" s="1"/>
  <c r="F14" i="6"/>
  <c r="J14" i="58" s="1"/>
  <c r="F8" i="35"/>
  <c r="E27" i="58" s="1"/>
  <c r="F15" i="35"/>
  <c r="E34" i="58" s="1"/>
  <c r="F7" i="35"/>
  <c r="E26" i="58" s="1"/>
  <c r="F7" i="6"/>
  <c r="J7" i="58" s="1"/>
  <c r="F11" i="6"/>
  <c r="J11" i="58" s="1"/>
  <c r="F15" i="6"/>
  <c r="J15" i="58" s="1"/>
  <c r="E6" i="5"/>
  <c r="E8" i="25"/>
  <c r="F13" i="35"/>
  <c r="E32" i="58" s="1"/>
  <c r="F5" i="35"/>
  <c r="E24" i="58" s="1"/>
  <c r="F8" i="6"/>
  <c r="J8" i="58" s="1"/>
  <c r="F12" i="6"/>
  <c r="J12" i="58" s="1"/>
  <c r="F4" i="6"/>
  <c r="J4" i="58" s="1"/>
  <c r="E5" i="25"/>
  <c r="F9" i="13"/>
  <c r="O28" i="58" s="1"/>
  <c r="M7" i="13"/>
  <c r="F8" i="13"/>
  <c r="O27" i="58" s="1"/>
  <c r="M14" i="13"/>
  <c r="T9" i="13"/>
  <c r="F15" i="13"/>
  <c r="O34" i="58" s="1"/>
  <c r="F7" i="13"/>
  <c r="O26" i="58" s="1"/>
  <c r="M13" i="13"/>
  <c r="T8" i="13"/>
  <c r="F6" i="13"/>
  <c r="O25" i="58" s="1"/>
  <c r="M12" i="13"/>
  <c r="T7" i="13"/>
  <c r="T14" i="13"/>
  <c r="F12" i="13"/>
  <c r="O31" i="58" s="1"/>
  <c r="T4" i="13"/>
  <c r="M10" i="13"/>
  <c r="T13" i="13"/>
  <c r="T5" i="13"/>
  <c r="M15" i="13"/>
  <c r="M5" i="13"/>
  <c r="F13" i="13"/>
  <c r="O32" i="58" s="1"/>
  <c r="M11" i="13"/>
  <c r="T6" i="13"/>
  <c r="F11" i="13"/>
  <c r="O30" i="58" s="1"/>
  <c r="M4" i="13"/>
  <c r="M9" i="13"/>
  <c r="T12" i="13"/>
  <c r="T10" i="13"/>
  <c r="F14" i="13"/>
  <c r="O33" i="58" s="1"/>
  <c r="T15" i="13"/>
  <c r="F5" i="13"/>
  <c r="O24" i="58" s="1"/>
  <c r="M8" i="13"/>
  <c r="T11" i="13"/>
  <c r="F18" i="7"/>
  <c r="R65" i="58" l="1"/>
  <c r="Y27" i="58"/>
  <c r="S5" i="58"/>
  <c r="AB24" i="58"/>
  <c r="T5" i="58"/>
  <c r="AC24" i="58"/>
  <c r="U62" i="58"/>
  <c r="R43" i="58"/>
  <c r="S62" i="58"/>
  <c r="N43" i="58"/>
  <c r="W24" i="58"/>
  <c r="S6" i="58"/>
  <c r="AB25" i="58"/>
  <c r="T6" i="58"/>
  <c r="AC25" i="58"/>
  <c r="U63" i="58"/>
  <c r="R44" i="58"/>
  <c r="S63" i="58"/>
  <c r="N44" i="58"/>
  <c r="W25" i="58"/>
  <c r="S7" i="58"/>
  <c r="AB26" i="58"/>
  <c r="T7" i="58"/>
  <c r="AC26" i="58"/>
  <c r="U64" i="58"/>
  <c r="R45" i="58"/>
  <c r="S64" i="58"/>
  <c r="N45" i="58"/>
  <c r="W26" i="58"/>
  <c r="S8" i="58"/>
  <c r="AB27" i="58"/>
  <c r="T8" i="58"/>
  <c r="AC27" i="58"/>
  <c r="U65" i="58"/>
  <c r="R46" i="58"/>
  <c r="S65" i="58"/>
  <c r="N46" i="58"/>
  <c r="W27" i="58"/>
  <c r="S15" i="58"/>
  <c r="AB34" i="58"/>
  <c r="T15" i="58"/>
  <c r="AC34" i="58"/>
  <c r="U72" i="58"/>
  <c r="R53" i="58"/>
  <c r="S72" i="58"/>
  <c r="N53" i="58"/>
  <c r="W34" i="58"/>
  <c r="S9" i="58"/>
  <c r="AB28" i="58"/>
  <c r="T9" i="58"/>
  <c r="AC28" i="58"/>
  <c r="U66" i="58"/>
  <c r="R47" i="58"/>
  <c r="S66" i="58"/>
  <c r="N47" i="58"/>
  <c r="W28" i="58"/>
  <c r="S10" i="58"/>
  <c r="AB29" i="58"/>
  <c r="T10" i="58"/>
  <c r="AC29" i="58"/>
  <c r="U67" i="58"/>
  <c r="R48" i="58"/>
  <c r="S67" i="58"/>
  <c r="N48" i="58"/>
  <c r="W29" i="58"/>
  <c r="S11" i="58"/>
  <c r="AB30" i="58"/>
  <c r="T11" i="58"/>
  <c r="AC30" i="58"/>
  <c r="U68" i="58"/>
  <c r="R49" i="58"/>
  <c r="S68" i="58"/>
  <c r="N49" i="58"/>
  <c r="W30" i="58"/>
  <c r="S12" i="58"/>
  <c r="AB31" i="58"/>
  <c r="T12" i="58"/>
  <c r="AC31" i="58"/>
  <c r="U69" i="58"/>
  <c r="R50" i="58"/>
  <c r="S69" i="58"/>
  <c r="N50" i="58"/>
  <c r="W31" i="58"/>
  <c r="R69" i="58"/>
  <c r="Y31" i="58"/>
  <c r="S13" i="58"/>
  <c r="AB32" i="58"/>
  <c r="T13" i="58"/>
  <c r="AC32" i="58"/>
  <c r="U70" i="58"/>
  <c r="R51" i="58"/>
  <c r="S70" i="58"/>
  <c r="N51" i="58"/>
  <c r="W32" i="58"/>
  <c r="S14" i="58"/>
  <c r="AB33" i="58"/>
  <c r="T14" i="58"/>
  <c r="AC33" i="58"/>
  <c r="U71" i="58"/>
  <c r="R52" i="58"/>
  <c r="S71" i="58"/>
  <c r="N52" i="58"/>
  <c r="W33" i="58"/>
  <c r="S4" i="58"/>
  <c r="S17" i="58" s="1"/>
  <c r="AB23" i="58"/>
  <c r="AB36" i="58" s="1"/>
  <c r="T4" i="58"/>
  <c r="T17" i="58" s="1"/>
  <c r="AC23" i="58"/>
  <c r="AC36" i="58" s="1"/>
  <c r="AC37" i="58" s="1"/>
  <c r="D107" i="8" s="1"/>
  <c r="U61" i="58"/>
  <c r="U74" i="58" s="1"/>
  <c r="R42" i="58"/>
  <c r="R55" i="58" s="1"/>
  <c r="G34" i="58"/>
  <c r="G33" i="58"/>
  <c r="G32" i="58"/>
  <c r="G31" i="58"/>
  <c r="G30" i="58"/>
  <c r="G29" i="58"/>
  <c r="G28" i="58"/>
  <c r="G27" i="58"/>
  <c r="G26" i="58"/>
  <c r="G25" i="58"/>
  <c r="G24" i="58"/>
  <c r="G36" i="58" s="1"/>
  <c r="H36" i="58"/>
  <c r="H37" i="58" s="1"/>
  <c r="D55" i="8" s="1"/>
  <c r="V61" i="58"/>
  <c r="S42" i="58"/>
  <c r="V72" i="58"/>
  <c r="S53" i="58"/>
  <c r="V71" i="58"/>
  <c r="S52" i="58"/>
  <c r="V70" i="58"/>
  <c r="S51" i="58"/>
  <c r="V69" i="58"/>
  <c r="S50" i="58"/>
  <c r="V68" i="58"/>
  <c r="S49" i="58"/>
  <c r="V67" i="58"/>
  <c r="S48" i="58"/>
  <c r="V66" i="58"/>
  <c r="S47" i="58"/>
  <c r="V65" i="58"/>
  <c r="S46" i="58"/>
  <c r="V64" i="58"/>
  <c r="S45" i="58"/>
  <c r="V63" i="58"/>
  <c r="S44" i="58"/>
  <c r="V62" i="58"/>
  <c r="S43" i="58"/>
  <c r="AE36" i="58"/>
  <c r="AE37" i="58" s="1"/>
  <c r="D109" i="8" s="1"/>
  <c r="U55" i="58"/>
  <c r="U56" i="58" s="1"/>
  <c r="D88" i="8" s="1"/>
  <c r="O93" i="58"/>
  <c r="O94" i="58" s="1"/>
  <c r="D70" i="8" s="1"/>
  <c r="S61" i="58"/>
  <c r="S74" i="58" s="1"/>
  <c r="S75" i="58" s="1"/>
  <c r="D14" i="8" s="1"/>
  <c r="N42" i="58"/>
  <c r="N55" i="58" s="1"/>
  <c r="N56" i="58" s="1"/>
  <c r="D83" i="8" s="1"/>
  <c r="W23" i="58"/>
  <c r="W36" i="58" s="1"/>
  <c r="W37" i="58" s="1"/>
  <c r="D104" i="8" s="1"/>
  <c r="H19" i="47"/>
  <c r="W38" i="58"/>
  <c r="E104" i="8" s="1"/>
  <c r="X38" i="58"/>
  <c r="E105" i="8" s="1"/>
  <c r="AE38" i="58"/>
  <c r="E109" i="8" s="1"/>
  <c r="U57" i="58"/>
  <c r="E88" i="8" s="1"/>
  <c r="O95" i="58"/>
  <c r="E70" i="8" s="1"/>
  <c r="S76" i="58"/>
  <c r="E14" i="8" s="1"/>
  <c r="T76" i="58"/>
  <c r="E15" i="8" s="1"/>
  <c r="N57" i="58"/>
  <c r="E83" i="8" s="1"/>
  <c r="O57" i="58"/>
  <c r="E84" i="8" s="1"/>
  <c r="H38" i="58"/>
  <c r="E55" i="8" s="1"/>
  <c r="AC38" i="58"/>
  <c r="E107" i="8" s="1"/>
  <c r="H19" i="58"/>
  <c r="E41" i="8" s="1"/>
  <c r="W19" i="58"/>
  <c r="E50" i="8" s="1"/>
  <c r="AA38" i="58"/>
  <c r="E114" i="8" s="1"/>
  <c r="L38" i="58"/>
  <c r="E60" i="8" s="1"/>
  <c r="Z57" i="58"/>
  <c r="E26" i="8" s="1"/>
  <c r="AC76" i="58"/>
  <c r="E25" i="8" s="1"/>
  <c r="Q95" i="58"/>
  <c r="E74" i="8" s="1"/>
  <c r="H95" i="58"/>
  <c r="E64" i="8" s="1"/>
  <c r="I95" i="58"/>
  <c r="E63" i="8" s="1"/>
  <c r="L76" i="58"/>
  <c r="E9" i="8" s="1"/>
  <c r="M76" i="58"/>
  <c r="E8" i="8" s="1"/>
  <c r="H57" i="58"/>
  <c r="E78" i="8" s="1"/>
  <c r="I57" i="58"/>
  <c r="E77" i="8" s="1"/>
  <c r="R38" i="58"/>
  <c r="E99" i="8" s="1"/>
  <c r="H20" i="24"/>
  <c r="V95" i="58"/>
  <c r="E28" i="8" s="1"/>
  <c r="S37" i="58"/>
  <c r="D100" i="8" s="1"/>
  <c r="S38" i="58"/>
  <c r="E100" i="8" s="1"/>
  <c r="P18" i="58"/>
  <c r="D42" i="8" s="1"/>
  <c r="P19" i="58"/>
  <c r="E42" i="8" s="1"/>
  <c r="Q18" i="58"/>
  <c r="D44" i="8" s="1"/>
  <c r="Q19" i="58"/>
  <c r="E44" i="8" s="1"/>
  <c r="O36" i="58"/>
  <c r="O37" i="58" s="1"/>
  <c r="D96" i="8" s="1"/>
  <c r="O38" i="58"/>
  <c r="E96" i="8" s="1"/>
  <c r="L91" i="58"/>
  <c r="W55" i="58"/>
  <c r="W57" i="58" s="1"/>
  <c r="AB17" i="58"/>
  <c r="L81" i="58"/>
  <c r="L80" i="58"/>
  <c r="Q36" i="58"/>
  <c r="Q37" i="58" s="1"/>
  <c r="D98" i="8" s="1"/>
  <c r="L85" i="58"/>
  <c r="X74" i="58"/>
  <c r="X75" i="58" s="1"/>
  <c r="D19" i="8" s="1"/>
  <c r="G93" i="58"/>
  <c r="G95" i="58" s="1"/>
  <c r="E65" i="8" s="1"/>
  <c r="AC17" i="58"/>
  <c r="AC19" i="58" s="1"/>
  <c r="E119" i="8" s="1"/>
  <c r="E17" i="58"/>
  <c r="E18" i="58" s="1"/>
  <c r="D38" i="8" s="1"/>
  <c r="U93" i="58"/>
  <c r="U95" i="58" s="1"/>
  <c r="E27" i="8" s="1"/>
  <c r="O17" i="58"/>
  <c r="O19" i="58" s="1"/>
  <c r="E43" i="8" s="1"/>
  <c r="E74" i="58"/>
  <c r="E76" i="58" s="1"/>
  <c r="E4" i="8" s="1"/>
  <c r="L83" i="58"/>
  <c r="L87" i="58"/>
  <c r="K74" i="58"/>
  <c r="K75" i="58" s="1"/>
  <c r="D10" i="8" s="1"/>
  <c r="L82" i="58"/>
  <c r="L86" i="58"/>
  <c r="H72" i="58"/>
  <c r="Y91" i="58"/>
  <c r="P53" i="58"/>
  <c r="W72" i="58"/>
  <c r="F72" i="58"/>
  <c r="X91" i="58"/>
  <c r="Z72" i="58"/>
  <c r="U15" i="58"/>
  <c r="I15" i="58"/>
  <c r="X53" i="58"/>
  <c r="Y72" i="58"/>
  <c r="I34" i="58"/>
  <c r="P91" i="58"/>
  <c r="AG34" i="58"/>
  <c r="W71" i="58"/>
  <c r="Y90" i="58"/>
  <c r="H71" i="58"/>
  <c r="Z71" i="58"/>
  <c r="F71" i="58"/>
  <c r="X90" i="58"/>
  <c r="U14" i="58"/>
  <c r="I14" i="58"/>
  <c r="AG33" i="58"/>
  <c r="P90" i="58"/>
  <c r="L90" i="58"/>
  <c r="M52" i="58"/>
  <c r="R71" i="58"/>
  <c r="X52" i="58"/>
  <c r="Y71" i="58"/>
  <c r="I33" i="58"/>
  <c r="W70" i="58"/>
  <c r="P51" i="58"/>
  <c r="H70" i="58"/>
  <c r="Y89" i="58"/>
  <c r="F70" i="58"/>
  <c r="X89" i="58"/>
  <c r="Z70" i="58"/>
  <c r="Y70" i="58"/>
  <c r="I32" i="58"/>
  <c r="X51" i="58"/>
  <c r="P89" i="58"/>
  <c r="AG32" i="58"/>
  <c r="R70" i="58"/>
  <c r="M51" i="58"/>
  <c r="I13" i="58"/>
  <c r="U13" i="58"/>
  <c r="L89" i="58"/>
  <c r="W69" i="58"/>
  <c r="P50" i="58"/>
  <c r="U12" i="58"/>
  <c r="I12" i="58"/>
  <c r="X88" i="58"/>
  <c r="F69" i="58"/>
  <c r="Z69" i="58"/>
  <c r="AC55" i="58"/>
  <c r="AC56" i="58" s="1"/>
  <c r="X50" i="58"/>
  <c r="I31" i="58"/>
  <c r="Y69" i="58"/>
  <c r="H69" i="58"/>
  <c r="Y88" i="58"/>
  <c r="P88" i="58"/>
  <c r="AG31" i="58"/>
  <c r="L88" i="58"/>
  <c r="P87" i="58"/>
  <c r="AG30" i="58"/>
  <c r="M49" i="58"/>
  <c r="R68" i="58"/>
  <c r="I11" i="58"/>
  <c r="U11" i="58"/>
  <c r="H68" i="58"/>
  <c r="Y87" i="58"/>
  <c r="X49" i="58"/>
  <c r="Y68" i="58"/>
  <c r="I30" i="58"/>
  <c r="Z68" i="58"/>
  <c r="F68" i="58"/>
  <c r="X87" i="58"/>
  <c r="W68" i="58"/>
  <c r="P49" i="58"/>
  <c r="AG29" i="58"/>
  <c r="P86" i="58"/>
  <c r="I10" i="58"/>
  <c r="U10" i="58"/>
  <c r="Y67" i="58"/>
  <c r="X48" i="58"/>
  <c r="I29" i="58"/>
  <c r="W67" i="58"/>
  <c r="P48" i="58"/>
  <c r="Y86" i="58"/>
  <c r="H67" i="58"/>
  <c r="M48" i="58"/>
  <c r="R67" i="58"/>
  <c r="F67" i="58"/>
  <c r="Z67" i="58"/>
  <c r="X86" i="58"/>
  <c r="M47" i="58"/>
  <c r="R66" i="58"/>
  <c r="P85" i="58"/>
  <c r="AG28" i="58"/>
  <c r="Y66" i="58"/>
  <c r="I28" i="58"/>
  <c r="X47" i="58"/>
  <c r="H66" i="58"/>
  <c r="Y85" i="58"/>
  <c r="I9" i="58"/>
  <c r="U9" i="58"/>
  <c r="F66" i="58"/>
  <c r="Z66" i="58"/>
  <c r="X85" i="58"/>
  <c r="W66" i="58"/>
  <c r="P84" i="58"/>
  <c r="AG27" i="58"/>
  <c r="L84" i="58"/>
  <c r="X84" i="58"/>
  <c r="Z65" i="58"/>
  <c r="F65" i="58"/>
  <c r="U8" i="58"/>
  <c r="I8" i="58"/>
  <c r="P46" i="58"/>
  <c r="W65" i="58"/>
  <c r="X46" i="58"/>
  <c r="Y65" i="58"/>
  <c r="I27" i="58"/>
  <c r="H65" i="58"/>
  <c r="Y84" i="58"/>
  <c r="H64" i="58"/>
  <c r="Y83" i="58"/>
  <c r="P83" i="58"/>
  <c r="AG26" i="58"/>
  <c r="R64" i="58"/>
  <c r="M45" i="58"/>
  <c r="X45" i="58"/>
  <c r="Y64" i="58"/>
  <c r="I26" i="58"/>
  <c r="W64" i="58"/>
  <c r="P45" i="58"/>
  <c r="U7" i="58"/>
  <c r="I7" i="58"/>
  <c r="Z64" i="58"/>
  <c r="X83" i="58"/>
  <c r="F64" i="58"/>
  <c r="M44" i="58"/>
  <c r="R63" i="58"/>
  <c r="E36" i="58"/>
  <c r="E38" i="58" s="1"/>
  <c r="E53" i="8" s="1"/>
  <c r="G74" i="58"/>
  <c r="G75" i="58" s="1"/>
  <c r="D5" i="8" s="1"/>
  <c r="U6" i="58"/>
  <c r="I6" i="58"/>
  <c r="X82" i="58"/>
  <c r="Z63" i="58"/>
  <c r="F63" i="58"/>
  <c r="H63" i="58"/>
  <c r="Y82" i="58"/>
  <c r="I25" i="58"/>
  <c r="X44" i="58"/>
  <c r="Y63" i="58"/>
  <c r="P44" i="58"/>
  <c r="W63" i="58"/>
  <c r="P82" i="58"/>
  <c r="AG25" i="58"/>
  <c r="I24" i="58"/>
  <c r="Y62" i="58"/>
  <c r="X43" i="58"/>
  <c r="AD55" i="58"/>
  <c r="AD57" i="58" s="1"/>
  <c r="R62" i="58"/>
  <c r="M43" i="58"/>
  <c r="H62" i="58"/>
  <c r="Y81" i="58"/>
  <c r="I5" i="58"/>
  <c r="U5" i="58"/>
  <c r="G55" i="58"/>
  <c r="G56" i="58" s="1"/>
  <c r="D79" i="8" s="1"/>
  <c r="P43" i="58"/>
  <c r="W62" i="58"/>
  <c r="F62" i="58"/>
  <c r="X81" i="58"/>
  <c r="Z62" i="58"/>
  <c r="L17" i="58"/>
  <c r="L19" i="58" s="1"/>
  <c r="E36" i="8" s="1"/>
  <c r="P81" i="58"/>
  <c r="AG24" i="58"/>
  <c r="E86" i="58"/>
  <c r="E48" i="58"/>
  <c r="N67" i="58"/>
  <c r="P42" i="58"/>
  <c r="W61" i="58"/>
  <c r="V37" i="58"/>
  <c r="D103" i="8" s="1"/>
  <c r="V38" i="58"/>
  <c r="X80" i="58"/>
  <c r="Z61" i="58"/>
  <c r="F61" i="58"/>
  <c r="R19" i="58"/>
  <c r="E45" i="8" s="1"/>
  <c r="R18" i="58"/>
  <c r="D45" i="8" s="1"/>
  <c r="G37" i="58"/>
  <c r="D56" i="8" s="1"/>
  <c r="G38" i="58"/>
  <c r="E56" i="8" s="1"/>
  <c r="F95" i="58"/>
  <c r="E62" i="8" s="1"/>
  <c r="F94" i="58"/>
  <c r="D62" i="8" s="1"/>
  <c r="F19" i="58"/>
  <c r="E35" i="8" s="1"/>
  <c r="F18" i="58"/>
  <c r="D35" i="8" s="1"/>
  <c r="F38" i="58"/>
  <c r="E54" i="8" s="1"/>
  <c r="F37" i="58"/>
  <c r="D54" i="8" s="1"/>
  <c r="N68" i="58"/>
  <c r="E87" i="58"/>
  <c r="E49" i="58"/>
  <c r="E88" i="58"/>
  <c r="E50" i="58"/>
  <c r="N69" i="58"/>
  <c r="E91" i="58"/>
  <c r="E53" i="58"/>
  <c r="N72" i="58"/>
  <c r="N61" i="58"/>
  <c r="E80" i="58"/>
  <c r="E42" i="58"/>
  <c r="M42" i="58"/>
  <c r="R61" i="58"/>
  <c r="P37" i="58"/>
  <c r="D97" i="8" s="1"/>
  <c r="P38" i="58"/>
  <c r="E97" i="8" s="1"/>
  <c r="Q75" i="58"/>
  <c r="D13" i="8" s="1"/>
  <c r="Q76" i="58"/>
  <c r="E13" i="8" s="1"/>
  <c r="AB38" i="58"/>
  <c r="E113" i="8" s="1"/>
  <c r="AB37" i="58"/>
  <c r="D113" i="8" s="1"/>
  <c r="Q57" i="58"/>
  <c r="E93" i="8" s="1"/>
  <c r="E39" i="7" s="1"/>
  <c r="Q56" i="58"/>
  <c r="D93" i="8" s="1"/>
  <c r="C39" i="7" s="1"/>
  <c r="N95" i="58"/>
  <c r="E71" i="8" s="1"/>
  <c r="N94" i="58"/>
  <c r="D71" i="8" s="1"/>
  <c r="N63" i="58"/>
  <c r="E82" i="58"/>
  <c r="E44" i="58"/>
  <c r="Y61" i="58"/>
  <c r="X42" i="58"/>
  <c r="I23" i="58"/>
  <c r="E85" i="58"/>
  <c r="E47" i="58"/>
  <c r="N66" i="58"/>
  <c r="K18" i="58"/>
  <c r="D37" i="8" s="1"/>
  <c r="K19" i="58"/>
  <c r="E37" i="8" s="1"/>
  <c r="N62" i="58"/>
  <c r="E81" i="58"/>
  <c r="E43" i="58"/>
  <c r="E83" i="58"/>
  <c r="E45" i="58"/>
  <c r="N64" i="58"/>
  <c r="N71" i="58"/>
  <c r="E90" i="58"/>
  <c r="E52" i="58"/>
  <c r="AG23" i="58"/>
  <c r="P80" i="58"/>
  <c r="M94" i="58"/>
  <c r="D69" i="8" s="1"/>
  <c r="M95" i="58"/>
  <c r="E69" i="8" s="1"/>
  <c r="T56" i="58"/>
  <c r="D89" i="8" s="1"/>
  <c r="C35" i="7" s="1"/>
  <c r="T57" i="58"/>
  <c r="E89" i="8" s="1"/>
  <c r="E35" i="7" s="1"/>
  <c r="AA75" i="58"/>
  <c r="D22" i="8" s="1"/>
  <c r="AA76" i="58"/>
  <c r="E22" i="8" s="1"/>
  <c r="AD19" i="58"/>
  <c r="E118" i="8" s="1"/>
  <c r="AD18" i="58"/>
  <c r="D118" i="8" s="1"/>
  <c r="AB19" i="58"/>
  <c r="E117" i="8" s="1"/>
  <c r="AB18" i="58"/>
  <c r="D117" i="8" s="1"/>
  <c r="N70" i="58"/>
  <c r="E89" i="58"/>
  <c r="E51" i="58"/>
  <c r="I4" i="58"/>
  <c r="U4" i="58"/>
  <c r="L56" i="58"/>
  <c r="D82" i="8" s="1"/>
  <c r="L57" i="58"/>
  <c r="E82" i="8" s="1"/>
  <c r="V56" i="58"/>
  <c r="V57" i="58"/>
  <c r="AD38" i="58"/>
  <c r="E108" i="8" s="1"/>
  <c r="AD37" i="58"/>
  <c r="D108" i="8" s="1"/>
  <c r="Y80" i="58"/>
  <c r="H61" i="58"/>
  <c r="AF38" i="58"/>
  <c r="E110" i="8" s="1"/>
  <c r="AF37" i="58"/>
  <c r="D110" i="8" s="1"/>
  <c r="F56" i="58"/>
  <c r="D76" i="8" s="1"/>
  <c r="F57" i="58"/>
  <c r="E76" i="8" s="1"/>
  <c r="N65" i="58"/>
  <c r="E84" i="58"/>
  <c r="E46" i="58"/>
  <c r="W95" i="58"/>
  <c r="E29" i="8" s="1"/>
  <c r="W94" i="58"/>
  <c r="D29" i="8" s="1"/>
  <c r="W56" i="58"/>
  <c r="R56" i="58"/>
  <c r="D87" i="8" s="1"/>
  <c r="R57" i="58"/>
  <c r="E87" i="8" s="1"/>
  <c r="F5" i="47"/>
  <c r="F9" i="47"/>
  <c r="F13" i="47"/>
  <c r="E6" i="47"/>
  <c r="E10" i="47"/>
  <c r="E14" i="47"/>
  <c r="F6" i="47"/>
  <c r="F10" i="47"/>
  <c r="F14" i="47"/>
  <c r="E7" i="47"/>
  <c r="E11" i="47"/>
  <c r="E15" i="47"/>
  <c r="F7" i="47"/>
  <c r="F11" i="47"/>
  <c r="F15" i="47"/>
  <c r="E4" i="47"/>
  <c r="E8" i="47"/>
  <c r="E12" i="47"/>
  <c r="F4" i="47"/>
  <c r="F8" i="47"/>
  <c r="F12" i="47"/>
  <c r="E5" i="47"/>
  <c r="E9" i="47"/>
  <c r="E13" i="47"/>
  <c r="H19" i="46"/>
  <c r="H19" i="49"/>
  <c r="H19" i="48"/>
  <c r="F7" i="24"/>
  <c r="F15" i="24"/>
  <c r="F17" i="24"/>
  <c r="F14" i="24"/>
  <c r="F8" i="24"/>
  <c r="F16" i="24"/>
  <c r="F9" i="24"/>
  <c r="F13" i="24"/>
  <c r="F10" i="24"/>
  <c r="F6" i="24"/>
  <c r="F11" i="24"/>
  <c r="F13" i="12"/>
  <c r="F12" i="24"/>
  <c r="E5" i="21"/>
  <c r="J24" i="58" s="1"/>
  <c r="E6" i="21"/>
  <c r="J25" i="58" s="1"/>
  <c r="E15" i="21"/>
  <c r="J34" i="58" s="1"/>
  <c r="E12" i="21"/>
  <c r="J31" i="58" s="1"/>
  <c r="E13" i="21"/>
  <c r="J32" i="58" s="1"/>
  <c r="E14" i="21"/>
  <c r="J33" i="58" s="1"/>
  <c r="E7" i="21"/>
  <c r="J26" i="58" s="1"/>
  <c r="E4" i="21"/>
  <c r="J23" i="58" s="1"/>
  <c r="E10" i="21"/>
  <c r="J29" i="58" s="1"/>
  <c r="E8" i="21"/>
  <c r="J27" i="58" s="1"/>
  <c r="E11" i="21"/>
  <c r="J30" i="58" s="1"/>
  <c r="E9" i="21"/>
  <c r="J28" i="58" s="1"/>
  <c r="I13" i="12" l="1"/>
  <c r="N27" i="12"/>
  <c r="I27" i="12"/>
  <c r="E103" i="8"/>
  <c r="E102" i="8"/>
  <c r="S55" i="58"/>
  <c r="V74" i="58"/>
  <c r="U76" i="58"/>
  <c r="E18" i="8" s="1"/>
  <c r="U75" i="58"/>
  <c r="D18" i="8" s="1"/>
  <c r="T19" i="58"/>
  <c r="E46" i="8" s="1"/>
  <c r="T18" i="58"/>
  <c r="D46" i="8" s="1"/>
  <c r="S19" i="58"/>
  <c r="E47" i="8" s="1"/>
  <c r="S18" i="58"/>
  <c r="D47" i="8" s="1"/>
  <c r="Y36" i="58"/>
  <c r="F21" i="24"/>
  <c r="F22" i="24"/>
  <c r="F23" i="24"/>
  <c r="F24" i="24"/>
  <c r="F25" i="24"/>
  <c r="F26" i="24"/>
  <c r="F27" i="24"/>
  <c r="F28" i="24"/>
  <c r="F29" i="24"/>
  <c r="F30" i="24"/>
  <c r="F31" i="24"/>
  <c r="F20" i="24"/>
  <c r="X4" i="58" s="1"/>
  <c r="D91" i="8"/>
  <c r="C37" i="7" s="1"/>
  <c r="E90" i="8"/>
  <c r="E36" i="7" s="1"/>
  <c r="D90" i="8"/>
  <c r="C36" i="7" s="1"/>
  <c r="E33" i="8"/>
  <c r="D32" i="8"/>
  <c r="E91" i="8"/>
  <c r="E37" i="7" s="1"/>
  <c r="Q38" i="58"/>
  <c r="E98" i="8" s="1"/>
  <c r="X76" i="58"/>
  <c r="E19" i="8" s="1"/>
  <c r="G94" i="58"/>
  <c r="D65" i="8" s="1"/>
  <c r="E75" i="58"/>
  <c r="D4" i="8" s="1"/>
  <c r="E19" i="58"/>
  <c r="E38" i="8" s="1"/>
  <c r="O18" i="58"/>
  <c r="D43" i="8" s="1"/>
  <c r="U94" i="58"/>
  <c r="D27" i="8" s="1"/>
  <c r="AC18" i="58"/>
  <c r="D119" i="8" s="1"/>
  <c r="K76" i="58"/>
  <c r="E10" i="8" s="1"/>
  <c r="I36" i="58"/>
  <c r="I38" i="58" s="1"/>
  <c r="E57" i="8" s="1"/>
  <c r="R74" i="58"/>
  <c r="R76" i="58" s="1"/>
  <c r="E16" i="8" s="1"/>
  <c r="M55" i="58"/>
  <c r="M57" i="58" s="1"/>
  <c r="E85" i="8" s="1"/>
  <c r="E31" i="7" s="1"/>
  <c r="AD56" i="58"/>
  <c r="L93" i="58"/>
  <c r="L95" i="58" s="1"/>
  <c r="E68" i="8" s="1"/>
  <c r="AC57" i="58"/>
  <c r="I17" i="58"/>
  <c r="U17" i="58"/>
  <c r="U19" i="58" s="1"/>
  <c r="E48" i="8" s="1"/>
  <c r="P93" i="58"/>
  <c r="P95" i="58" s="1"/>
  <c r="E72" i="8" s="1"/>
  <c r="AG36" i="58"/>
  <c r="AG37" i="58" s="1"/>
  <c r="D111" i="8" s="1"/>
  <c r="L18" i="58"/>
  <c r="D36" i="8" s="1"/>
  <c r="E37" i="58"/>
  <c r="D53" i="8" s="1"/>
  <c r="X93" i="58"/>
  <c r="X94" i="58" s="1"/>
  <c r="D30" i="8" s="1"/>
  <c r="G57" i="58"/>
  <c r="E79" i="8" s="1"/>
  <c r="X55" i="58"/>
  <c r="X57" i="58" s="1"/>
  <c r="E92" i="8" s="1"/>
  <c r="E38" i="7" s="1"/>
  <c r="Y74" i="58"/>
  <c r="Y76" i="58" s="1"/>
  <c r="E21" i="8" s="1"/>
  <c r="G76" i="58"/>
  <c r="E5" i="8" s="1"/>
  <c r="W74" i="58"/>
  <c r="W76" i="58" s="1"/>
  <c r="E23" i="8" s="1"/>
  <c r="H74" i="58"/>
  <c r="H75" i="58" s="1"/>
  <c r="D6" i="8" s="1"/>
  <c r="Y93" i="58"/>
  <c r="Y94" i="58" s="1"/>
  <c r="D31" i="8" s="1"/>
  <c r="P55" i="58"/>
  <c r="P56" i="58" s="1"/>
  <c r="D94" i="8" s="1"/>
  <c r="C40" i="7" s="1"/>
  <c r="Z74" i="58"/>
  <c r="Z76" i="58" s="1"/>
  <c r="E20" i="8" s="1"/>
  <c r="F74" i="58"/>
  <c r="F76" i="58" s="1"/>
  <c r="E3" i="8" s="1"/>
  <c r="Y50" i="58"/>
  <c r="AB69" i="58"/>
  <c r="Y14" i="58"/>
  <c r="AH33" i="58"/>
  <c r="AB61" i="58"/>
  <c r="Y42" i="58"/>
  <c r="AB64" i="58"/>
  <c r="Y45" i="58"/>
  <c r="N74" i="58"/>
  <c r="Y6" i="58"/>
  <c r="AH25" i="58"/>
  <c r="Y12" i="58"/>
  <c r="AH31" i="58"/>
  <c r="AB66" i="58"/>
  <c r="Y47" i="58"/>
  <c r="Y9" i="58"/>
  <c r="AH28" i="58"/>
  <c r="Y15" i="58"/>
  <c r="AH34" i="58"/>
  <c r="Y43" i="58"/>
  <c r="AB62" i="58"/>
  <c r="AB71" i="58"/>
  <c r="Y52" i="58"/>
  <c r="AB65" i="58"/>
  <c r="Y46" i="58"/>
  <c r="J36" i="58"/>
  <c r="Y51" i="58"/>
  <c r="AB70" i="58"/>
  <c r="AH32" i="58"/>
  <c r="Y13" i="58"/>
  <c r="Y48" i="58"/>
  <c r="AB67" i="58"/>
  <c r="Y7" i="58"/>
  <c r="AH26" i="58"/>
  <c r="AH29" i="58"/>
  <c r="Y10" i="58"/>
  <c r="AH23" i="58"/>
  <c r="Y4" i="58"/>
  <c r="AH27" i="58"/>
  <c r="Y8" i="58"/>
  <c r="AH24" i="58"/>
  <c r="Y5" i="58"/>
  <c r="AB72" i="58"/>
  <c r="Y53" i="58"/>
  <c r="AB63" i="58"/>
  <c r="Y44" i="58"/>
  <c r="E55" i="58"/>
  <c r="AH30" i="58"/>
  <c r="Y11" i="58"/>
  <c r="Y49" i="58"/>
  <c r="AB68" i="58"/>
  <c r="E93" i="58"/>
  <c r="J17" i="58"/>
  <c r="C9" i="12"/>
  <c r="O67" i="58" s="1"/>
  <c r="C10" i="12"/>
  <c r="O68" i="58" s="1"/>
  <c r="C11" i="12"/>
  <c r="O69" i="58" s="1"/>
  <c r="C4" i="12"/>
  <c r="O62" i="58" s="1"/>
  <c r="C12" i="12"/>
  <c r="O70" i="58" s="1"/>
  <c r="C5" i="12"/>
  <c r="O63" i="58" s="1"/>
  <c r="C13" i="12"/>
  <c r="O71" i="58" s="1"/>
  <c r="C6" i="12"/>
  <c r="O64" i="58" s="1"/>
  <c r="C14" i="12"/>
  <c r="O72" i="58" s="1"/>
  <c r="C7" i="12"/>
  <c r="O65" i="58" s="1"/>
  <c r="C3" i="12"/>
  <c r="C8" i="12"/>
  <c r="O66" i="58" s="1"/>
  <c r="F5" i="46"/>
  <c r="F4" i="46"/>
  <c r="E12" i="46"/>
  <c r="F12" i="46"/>
  <c r="F10" i="46"/>
  <c r="F7" i="46"/>
  <c r="F15" i="46"/>
  <c r="E11" i="46"/>
  <c r="F6" i="46"/>
  <c r="E10" i="46"/>
  <c r="E14" i="46"/>
  <c r="F13" i="46"/>
  <c r="F14" i="46"/>
  <c r="E6" i="46"/>
  <c r="E9" i="46"/>
  <c r="E15" i="46"/>
  <c r="E5" i="46"/>
  <c r="F11" i="46"/>
  <c r="E4" i="46"/>
  <c r="Z23" i="58" s="1"/>
  <c r="E7" i="46"/>
  <c r="F9" i="46"/>
  <c r="E8" i="46"/>
  <c r="F8" i="46"/>
  <c r="E13" i="46"/>
  <c r="F15" i="49"/>
  <c r="F4" i="49"/>
  <c r="E4" i="49"/>
  <c r="F6" i="49"/>
  <c r="E9" i="49"/>
  <c r="F5" i="49"/>
  <c r="F13" i="49"/>
  <c r="F8" i="49"/>
  <c r="E11" i="49"/>
  <c r="F7" i="49"/>
  <c r="F10" i="49"/>
  <c r="E13" i="49"/>
  <c r="F9" i="49"/>
  <c r="E6" i="49"/>
  <c r="F12" i="49"/>
  <c r="E15" i="49"/>
  <c r="F11" i="49"/>
  <c r="F14" i="49"/>
  <c r="E14" i="49"/>
  <c r="E8" i="49"/>
  <c r="E12" i="49"/>
  <c r="E5" i="49"/>
  <c r="E10" i="49"/>
  <c r="E7" i="49"/>
  <c r="E14" i="48"/>
  <c r="F4" i="48"/>
  <c r="E4" i="48"/>
  <c r="E6" i="48"/>
  <c r="F5" i="48"/>
  <c r="F8" i="48"/>
  <c r="E7" i="48"/>
  <c r="F13" i="48"/>
  <c r="E8" i="48"/>
  <c r="F7" i="48"/>
  <c r="E10" i="48"/>
  <c r="F9" i="48"/>
  <c r="F6" i="48"/>
  <c r="E5" i="48"/>
  <c r="F11" i="48"/>
  <c r="F10" i="48"/>
  <c r="E9" i="48"/>
  <c r="F15" i="48"/>
  <c r="F14" i="48"/>
  <c r="E15" i="48"/>
  <c r="E13" i="48"/>
  <c r="F12" i="48"/>
  <c r="E11" i="48"/>
  <c r="E12" i="48"/>
  <c r="O61" i="58" l="1"/>
  <c r="O74" i="58" s="1"/>
  <c r="J42" i="58"/>
  <c r="AI33" i="58"/>
  <c r="X15" i="58"/>
  <c r="AI32" i="58"/>
  <c r="X14" i="58"/>
  <c r="AI31" i="58"/>
  <c r="X13" i="58"/>
  <c r="AI30" i="58"/>
  <c r="X12" i="58"/>
  <c r="AI29" i="58"/>
  <c r="X11" i="58"/>
  <c r="AI28" i="58"/>
  <c r="X10" i="58"/>
  <c r="AI27" i="58"/>
  <c r="X9" i="58"/>
  <c r="AI26" i="58"/>
  <c r="X8" i="58"/>
  <c r="AI25" i="58"/>
  <c r="X7" i="58"/>
  <c r="AI24" i="58"/>
  <c r="X6" i="58"/>
  <c r="AI23" i="58"/>
  <c r="AI36" i="58" s="1"/>
  <c r="X5" i="58"/>
  <c r="X17" i="58" s="1"/>
  <c r="Y37" i="58"/>
  <c r="D106" i="8" s="1"/>
  <c r="Y38" i="58"/>
  <c r="E106" i="8" s="1"/>
  <c r="V76" i="58"/>
  <c r="E17" i="8" s="1"/>
  <c r="V75" i="58"/>
  <c r="D17" i="8" s="1"/>
  <c r="S56" i="58"/>
  <c r="D86" i="8" s="1"/>
  <c r="S57" i="58"/>
  <c r="E86" i="8" s="1"/>
  <c r="C18" i="12"/>
  <c r="C19" i="12"/>
  <c r="C20" i="12"/>
  <c r="C21" i="12"/>
  <c r="C22" i="12"/>
  <c r="C23" i="12"/>
  <c r="C24" i="12"/>
  <c r="C25" i="12"/>
  <c r="C26" i="12"/>
  <c r="C27" i="12"/>
  <c r="C28" i="12"/>
  <c r="C17" i="12"/>
  <c r="D18" i="12"/>
  <c r="D19" i="12"/>
  <c r="D20" i="12"/>
  <c r="D21" i="12"/>
  <c r="D22" i="12"/>
  <c r="D23" i="12"/>
  <c r="D24" i="12"/>
  <c r="D25" i="12"/>
  <c r="D26" i="12"/>
  <c r="D27" i="12"/>
  <c r="D28" i="12"/>
  <c r="D17" i="12"/>
  <c r="E32" i="8"/>
  <c r="D33" i="8"/>
  <c r="E33" i="7"/>
  <c r="K30" i="58"/>
  <c r="I37" i="58"/>
  <c r="D57" i="8" s="1"/>
  <c r="I19" i="58"/>
  <c r="E39" i="8" s="1"/>
  <c r="I18" i="58"/>
  <c r="D39" i="8" s="1"/>
  <c r="L94" i="58"/>
  <c r="D68" i="8" s="1"/>
  <c r="M56" i="58"/>
  <c r="D85" i="8" s="1"/>
  <c r="C31" i="7" s="1"/>
  <c r="R75" i="58"/>
  <c r="D16" i="8" s="1"/>
  <c r="P94" i="58"/>
  <c r="D72" i="8" s="1"/>
  <c r="X56" i="58"/>
  <c r="D92" i="8" s="1"/>
  <c r="C38" i="7" s="1"/>
  <c r="AG38" i="58"/>
  <c r="U18" i="58"/>
  <c r="D48" i="8" s="1"/>
  <c r="Y75" i="58"/>
  <c r="D21" i="8" s="1"/>
  <c r="P57" i="58"/>
  <c r="Y95" i="58"/>
  <c r="E31" i="8" s="1"/>
  <c r="R82" i="58"/>
  <c r="X95" i="58"/>
  <c r="E30" i="8" s="1"/>
  <c r="W75" i="58"/>
  <c r="D23" i="8" s="1"/>
  <c r="H76" i="58"/>
  <c r="E6" i="8" s="1"/>
  <c r="K26" i="58"/>
  <c r="R85" i="58"/>
  <c r="K34" i="58"/>
  <c r="R83" i="58"/>
  <c r="K23" i="58"/>
  <c r="R90" i="58"/>
  <c r="R80" i="58"/>
  <c r="F75" i="58"/>
  <c r="K24" i="58"/>
  <c r="Z75" i="58"/>
  <c r="D20" i="8" s="1"/>
  <c r="R91" i="58"/>
  <c r="K32" i="58"/>
  <c r="R84" i="58"/>
  <c r="R89" i="58"/>
  <c r="K29" i="58"/>
  <c r="R88" i="58"/>
  <c r="G7" i="58"/>
  <c r="Z26" i="58"/>
  <c r="V7" i="58"/>
  <c r="J19" i="58"/>
  <c r="E34" i="8" s="1"/>
  <c r="J18" i="58"/>
  <c r="D34" i="8" s="1"/>
  <c r="G4" i="58"/>
  <c r="V4" i="58"/>
  <c r="G14" i="58"/>
  <c r="Z33" i="58"/>
  <c r="V14" i="58"/>
  <c r="Z31" i="58"/>
  <c r="V12" i="58"/>
  <c r="G12" i="58"/>
  <c r="J90" i="58"/>
  <c r="T33" i="58"/>
  <c r="J52" i="58"/>
  <c r="AB74" i="58"/>
  <c r="G6" i="58"/>
  <c r="Z25" i="58"/>
  <c r="V6" i="58"/>
  <c r="V10" i="58"/>
  <c r="G10" i="58"/>
  <c r="Z29" i="58"/>
  <c r="J82" i="58"/>
  <c r="T25" i="58"/>
  <c r="J44" i="58"/>
  <c r="E56" i="58"/>
  <c r="D75" i="8" s="1"/>
  <c r="E57" i="58"/>
  <c r="E75" i="8" s="1"/>
  <c r="J37" i="58"/>
  <c r="D58" i="8" s="1"/>
  <c r="J38" i="58"/>
  <c r="E58" i="8" s="1"/>
  <c r="K28" i="58"/>
  <c r="K27" i="58"/>
  <c r="K33" i="58"/>
  <c r="R87" i="58"/>
  <c r="Z24" i="58"/>
  <c r="V5" i="58"/>
  <c r="G5" i="58"/>
  <c r="J89" i="58"/>
  <c r="T32" i="58"/>
  <c r="J51" i="58"/>
  <c r="E95" i="58"/>
  <c r="E61" i="8" s="1"/>
  <c r="E94" i="58"/>
  <c r="D61" i="8" s="1"/>
  <c r="N76" i="58"/>
  <c r="E7" i="8" s="1"/>
  <c r="N75" i="58"/>
  <c r="D7" i="8" s="1"/>
  <c r="R81" i="58"/>
  <c r="G8" i="58"/>
  <c r="V8" i="58"/>
  <c r="Z27" i="58"/>
  <c r="J84" i="58"/>
  <c r="T27" i="58"/>
  <c r="J46" i="58"/>
  <c r="J53" i="58"/>
  <c r="J91" i="58"/>
  <c r="T34" i="58"/>
  <c r="K25" i="58"/>
  <c r="Y55" i="58"/>
  <c r="Z32" i="58"/>
  <c r="V13" i="58"/>
  <c r="G13" i="58"/>
  <c r="G15" i="58"/>
  <c r="Z34" i="58"/>
  <c r="V15" i="58"/>
  <c r="Z30" i="58"/>
  <c r="V11" i="58"/>
  <c r="G11" i="58"/>
  <c r="J47" i="58"/>
  <c r="J85" i="58"/>
  <c r="T28" i="58"/>
  <c r="J81" i="58"/>
  <c r="T24" i="58"/>
  <c r="J43" i="58"/>
  <c r="Y17" i="58"/>
  <c r="J87" i="58"/>
  <c r="T30" i="58"/>
  <c r="J49" i="58"/>
  <c r="J48" i="58"/>
  <c r="J86" i="58"/>
  <c r="T29" i="58"/>
  <c r="J45" i="58"/>
  <c r="J83" i="58"/>
  <c r="T26" i="58"/>
  <c r="K31" i="58"/>
  <c r="R86" i="58"/>
  <c r="G9" i="58"/>
  <c r="Z28" i="58"/>
  <c r="V9" i="58"/>
  <c r="J80" i="58"/>
  <c r="T23" i="58"/>
  <c r="J50" i="58"/>
  <c r="J88" i="58"/>
  <c r="T31" i="58"/>
  <c r="AH36" i="58"/>
  <c r="K80" i="58" l="1"/>
  <c r="P61" i="58"/>
  <c r="K42" i="58"/>
  <c r="U23" i="58"/>
  <c r="K91" i="58"/>
  <c r="P72" i="58"/>
  <c r="K53" i="58"/>
  <c r="U34" i="58"/>
  <c r="K90" i="58"/>
  <c r="P71" i="58"/>
  <c r="K52" i="58"/>
  <c r="U33" i="58"/>
  <c r="K89" i="58"/>
  <c r="P70" i="58"/>
  <c r="K51" i="58"/>
  <c r="U32" i="58"/>
  <c r="K88" i="58"/>
  <c r="P69" i="58"/>
  <c r="K50" i="58"/>
  <c r="U31" i="58"/>
  <c r="K87" i="58"/>
  <c r="P68" i="58"/>
  <c r="K49" i="58"/>
  <c r="U30" i="58"/>
  <c r="K86" i="58"/>
  <c r="P67" i="58"/>
  <c r="K48" i="58"/>
  <c r="U29" i="58"/>
  <c r="K85" i="58"/>
  <c r="P66" i="58"/>
  <c r="K47" i="58"/>
  <c r="U28" i="58"/>
  <c r="K84" i="58"/>
  <c r="P65" i="58"/>
  <c r="K46" i="58"/>
  <c r="U27" i="58"/>
  <c r="K83" i="58"/>
  <c r="P64" i="58"/>
  <c r="K45" i="58"/>
  <c r="U26" i="58"/>
  <c r="K82" i="58"/>
  <c r="P63" i="58"/>
  <c r="K44" i="58"/>
  <c r="U25" i="58"/>
  <c r="K81" i="58"/>
  <c r="P62" i="58"/>
  <c r="K43" i="58"/>
  <c r="U24" i="58"/>
  <c r="X18" i="58"/>
  <c r="D52" i="8" s="1"/>
  <c r="X19" i="58"/>
  <c r="E52" i="8" s="1"/>
  <c r="AI37" i="58"/>
  <c r="D116" i="8" s="1"/>
  <c r="AI38" i="58"/>
  <c r="E116" i="8" s="1"/>
  <c r="O76" i="58"/>
  <c r="E11" i="8" s="1"/>
  <c r="O75" i="58"/>
  <c r="D11" i="8" s="1"/>
  <c r="D3" i="8"/>
  <c r="E94" i="8"/>
  <c r="E40" i="7" s="1"/>
  <c r="E111" i="8"/>
  <c r="C33" i="7"/>
  <c r="C21" i="7"/>
  <c r="E21" i="7"/>
  <c r="E22" i="7"/>
  <c r="C22" i="7"/>
  <c r="R93" i="58"/>
  <c r="R95" i="58" s="1"/>
  <c r="E73" i="8" s="1"/>
  <c r="K36" i="58"/>
  <c r="K38" i="58" s="1"/>
  <c r="Z36" i="58"/>
  <c r="G17" i="58"/>
  <c r="J55" i="58"/>
  <c r="T36" i="58"/>
  <c r="AB75" i="58"/>
  <c r="D24" i="8" s="1"/>
  <c r="AB76" i="58"/>
  <c r="E24" i="8" s="1"/>
  <c r="AH37" i="58"/>
  <c r="D115" i="8" s="1"/>
  <c r="AH38" i="58"/>
  <c r="E115" i="8" s="1"/>
  <c r="J93" i="58"/>
  <c r="Y18" i="58"/>
  <c r="Y19" i="58"/>
  <c r="Y57" i="58"/>
  <c r="Y56" i="58"/>
  <c r="V17" i="58"/>
  <c r="U36" i="58" l="1"/>
  <c r="K55" i="58"/>
  <c r="P74" i="58"/>
  <c r="K93" i="58"/>
  <c r="C34" i="7"/>
  <c r="D95" i="8"/>
  <c r="C41" i="7" s="1"/>
  <c r="E34" i="7"/>
  <c r="E95" i="8"/>
  <c r="E41" i="7" s="1"/>
  <c r="E25" i="7"/>
  <c r="E51" i="8"/>
  <c r="C25" i="7"/>
  <c r="D51" i="8"/>
  <c r="E59" i="8"/>
  <c r="R94" i="58"/>
  <c r="D73" i="8" s="1"/>
  <c r="K37" i="58"/>
  <c r="T37" i="58"/>
  <c r="D101" i="8" s="1"/>
  <c r="T38" i="58"/>
  <c r="E101" i="8" s="1"/>
  <c r="J57" i="58"/>
  <c r="E80" i="8" s="1"/>
  <c r="J56" i="58"/>
  <c r="D80" i="8" s="1"/>
  <c r="G19" i="58"/>
  <c r="G18" i="58"/>
  <c r="J94" i="58"/>
  <c r="D66" i="8" s="1"/>
  <c r="J95" i="58"/>
  <c r="E66" i="8" s="1"/>
  <c r="Z37" i="58"/>
  <c r="D112" i="8" s="1"/>
  <c r="Z38" i="58"/>
  <c r="E112" i="8" s="1"/>
  <c r="V18" i="58"/>
  <c r="D49" i="8" s="1"/>
  <c r="C28" i="7" s="1"/>
  <c r="V19" i="58"/>
  <c r="E49" i="8" s="1"/>
  <c r="K94" i="58" l="1"/>
  <c r="D67" i="8" s="1"/>
  <c r="K95" i="58"/>
  <c r="E67" i="8" s="1"/>
  <c r="P75" i="58"/>
  <c r="D12" i="8" s="1"/>
  <c r="P76" i="58"/>
  <c r="E12" i="8" s="1"/>
  <c r="K56" i="58"/>
  <c r="D81" i="8" s="1"/>
  <c r="K57" i="58"/>
  <c r="E81" i="8" s="1"/>
  <c r="U37" i="58"/>
  <c r="D102" i="8" s="1"/>
  <c r="U38" i="58"/>
  <c r="E26" i="7"/>
  <c r="E28" i="7"/>
  <c r="C27" i="7"/>
  <c r="C32" i="7"/>
  <c r="E27" i="7"/>
  <c r="E32" i="7"/>
  <c r="C23" i="7"/>
  <c r="D40" i="8"/>
  <c r="E23" i="7"/>
  <c r="E40" i="8"/>
  <c r="C26" i="7"/>
  <c r="D59" i="8"/>
  <c r="E24" i="7"/>
  <c r="C24" i="7"/>
  <c r="E29" i="7"/>
  <c r="E30" i="7"/>
  <c r="C29" i="7"/>
  <c r="C30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<sst xmlns="http://schemas.openxmlformats.org/spreadsheetml/2006/main" count="2252" uniqueCount="411">
  <si>
    <t>Last updated 2/5/2025</t>
  </si>
  <si>
    <t xml:space="preserve">Region </t>
  </si>
  <si>
    <t>Vic North</t>
  </si>
  <si>
    <t xml:space="preserve">Milk Payment System </t>
  </si>
  <si>
    <t>All</t>
  </si>
  <si>
    <t>Labels/headings</t>
  </si>
  <si>
    <t xml:space="preserve">Inputted data </t>
  </si>
  <si>
    <t>Month</t>
  </si>
  <si>
    <t>Litres</t>
  </si>
  <si>
    <t>Butterfat %</t>
  </si>
  <si>
    <t>Protein %</t>
  </si>
  <si>
    <t>Total Milk Solids (kg)</t>
  </si>
  <si>
    <t>Calculations (do not touch!)</t>
  </si>
  <si>
    <t>July</t>
  </si>
  <si>
    <t>As in MSA (do not touch unless updating!)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</si>
  <si>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</si>
  <si>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</si>
  <si>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</si>
  <si>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</si>
  <si>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</si>
  <si>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</si>
  <si>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</si>
  <si>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</si>
  <si>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</si>
  <si>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</si>
  <si>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</si>
  <si>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</si>
  <si>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Processors</t>
  </si>
  <si>
    <t>Headline Price ($/L)</t>
  </si>
  <si>
    <t>Headline Price ($/kgMS)</t>
  </si>
  <si>
    <t>Link to Milk Supply Agreement</t>
  </si>
  <si>
    <t>Region</t>
  </si>
  <si>
    <t>SA Central</t>
  </si>
  <si>
    <t>Milk Payment System</t>
  </si>
  <si>
    <t>*/</t>
  </si>
  <si>
    <t>Monthly Estimated Income</t>
  </si>
  <si>
    <t>LaCasa</t>
  </si>
  <si>
    <t>Coles (SA Central)</t>
  </si>
  <si>
    <t>Saputo (SA Central) [7/5]</t>
  </si>
  <si>
    <t>Saputo (SA Central) [Flat]</t>
  </si>
  <si>
    <t>Lactalis (SA Central)</t>
  </si>
  <si>
    <t>Bega (SA Central)</t>
  </si>
  <si>
    <t>Fleurieu (Fresian &amp; Jersey only)</t>
  </si>
  <si>
    <t>DFMC (SA Central)</t>
  </si>
  <si>
    <t>SA South East</t>
  </si>
  <si>
    <t>Bega (SA Southeast) [Flat 1:2]</t>
  </si>
  <si>
    <t>Bega (SA Southeast) [Flat 1:1]</t>
  </si>
  <si>
    <t>Bega (SA Southeast) [MPS 9/3]</t>
  </si>
  <si>
    <t>Coles (SA Southeast)</t>
  </si>
  <si>
    <t>Fonterra (Southeast SA &amp; Vic Southwest) [8/4]</t>
  </si>
  <si>
    <t>Fonterra (Southeast SA &amp; Vic Southwest) [7/5]</t>
  </si>
  <si>
    <t>Lactalis (SA Southeast)</t>
  </si>
  <si>
    <t>Saputo (SA Southeast) [7/5]</t>
  </si>
  <si>
    <t>Saputo (SA Southeast) [Flat]</t>
  </si>
  <si>
    <t>UDC (SA Southeast) [9/3]</t>
  </si>
  <si>
    <t>UDC (SA Southeast) [7/5]</t>
  </si>
  <si>
    <t>WA</t>
  </si>
  <si>
    <t>Brownes</t>
  </si>
  <si>
    <t>Lactalis (WA)</t>
  </si>
  <si>
    <t>Coles (WA)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</si>
  <si>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</si>
  <si>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</si>
  <si>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</si>
  <si>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</si>
  <si>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</si>
  <si>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</si>
  <si>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</si>
  <si>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</si>
  <si>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</si>
  <si>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</si>
  <si>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Jun</t>
  </si>
  <si>
    <t>$/L</t>
  </si>
  <si>
    <t>$/kgMS</t>
  </si>
  <si>
    <t>Tas</t>
  </si>
  <si>
    <t>Bega (Tas)</t>
  </si>
  <si>
    <t>Coles (Tas)</t>
  </si>
  <si>
    <t>Fonterra (Tas) [8/4]</t>
  </si>
  <si>
    <t>Fonterra (Tas) [7/5]</t>
  </si>
  <si>
    <t>Lactalis (Tas)</t>
  </si>
  <si>
    <t>Mondelez</t>
  </si>
  <si>
    <t>Saputo (Tas) [7/5]</t>
  </si>
  <si>
    <t>Saputo (Tas) [Flat]</t>
  </si>
  <si>
    <t>Vic SW</t>
  </si>
  <si>
    <t>ACM (Vic Southwest)</t>
  </si>
  <si>
    <t>ADFC (Vic Southwest)</t>
  </si>
  <si>
    <t>Bega (Vic Southwest) [Flat 1:1]</t>
  </si>
  <si>
    <t>Bega (Vic Southwest) [Flat 1:2]</t>
  </si>
  <si>
    <t>Bega (Vic Southwest) [MPS 9/3]</t>
  </si>
  <si>
    <t>Bulla (Vic Southwest) [1:1]</t>
  </si>
  <si>
    <t>Bulla (Vic Southwest) [1:2]</t>
  </si>
  <si>
    <t>Coles (Vic Southwest)</t>
  </si>
  <si>
    <t>DFMC (Vic Southwest) [9/3]</t>
  </si>
  <si>
    <t>DFMC (Vic Southwest) [Flat]</t>
  </si>
  <si>
    <t>DFMC (Vic Southwest) [Traditional]</t>
  </si>
  <si>
    <t>Saputo (Vic Southwest) [7/5]</t>
  </si>
  <si>
    <t>Saputo (Vic Southwest) [Flat]</t>
  </si>
  <si>
    <t>Frestine (Vic Southwest) [1:2]</t>
  </si>
  <si>
    <t>Frestine (Vic Southwest) [1:1]</t>
  </si>
  <si>
    <t>KY Valley (Vic Southwest)</t>
  </si>
  <si>
    <t>Lactalis (Gippsland &amp; Vic Southwest)</t>
  </si>
  <si>
    <t>UDC (Vic Southwest) [7/5]</t>
  </si>
  <si>
    <t>UDC (Vic Southwest) [9/3]</t>
  </si>
  <si>
    <t>ACM (Vic North)</t>
  </si>
  <si>
    <t>ADFC (Vic North)</t>
  </si>
  <si>
    <t>Bega (Vic North) [MPS 9/3]</t>
  </si>
  <si>
    <t>Bega (Vic North) [Flat 1:2]</t>
  </si>
  <si>
    <t>Bega (Vic North) [Flat 1:1]</t>
  </si>
  <si>
    <t>Bulla (Vic North &amp; Riverina) [1:1]</t>
  </si>
  <si>
    <t>Bulla (Vic North &amp; Riverina) [1:2]</t>
  </si>
  <si>
    <t>Coles (Vic North)</t>
  </si>
  <si>
    <t>DFMC (Vic North) [Traditional]</t>
  </si>
  <si>
    <t>DFMC (Vic North) [9/3]</t>
  </si>
  <si>
    <t>DFMC (Vic North) [Flat]</t>
  </si>
  <si>
    <t>Riverina Fresh (Vic North)</t>
  </si>
  <si>
    <t>Noumi (Vic North)</t>
  </si>
  <si>
    <t>Fonterra (Vic North &amp; Riverina) [8/4]</t>
  </si>
  <si>
    <t>Fonterra (Vic North &amp; Riverina) [7/5]</t>
  </si>
  <si>
    <t>Frestine (Vic North) [1:2]</t>
  </si>
  <si>
    <t>Frestine (Vic North) [1:1]</t>
  </si>
  <si>
    <t>GVC (Vic North)</t>
  </si>
  <si>
    <t>KY Valley (Vic North)</t>
  </si>
  <si>
    <t>Lactalis (Vic, Tas, and Riverina)</t>
  </si>
  <si>
    <t>Saputo (Vic North) [7/5]</t>
  </si>
  <si>
    <t>Saputo (Vic North) [Flat]</t>
  </si>
  <si>
    <t>Qld</t>
  </si>
  <si>
    <t>Lactalis (Qld and North NSW)</t>
  </si>
  <si>
    <t>Norco (Qld)</t>
  </si>
  <si>
    <t>NSW North Coast</t>
  </si>
  <si>
    <t>Lactalis (NSW)</t>
  </si>
  <si>
    <t>Norco (North NSW)</t>
  </si>
  <si>
    <t>Saputo (NSW Metro)</t>
  </si>
  <si>
    <t>NSW Riverina</t>
  </si>
  <si>
    <t>Bega (Riverina) [MPS 9/3]</t>
  </si>
  <si>
    <t>Bega (Riverina) [Flat 1:2]</t>
  </si>
  <si>
    <t>Bega (Riverina) [Flat 1:1]</t>
  </si>
  <si>
    <t>ACM (Riverina)</t>
  </si>
  <si>
    <t>Coles (Riverina)</t>
  </si>
  <si>
    <t>DFMC (Riverina) [Traditional]</t>
  </si>
  <si>
    <t>DFMC (Riverina) [9/3]</t>
  </si>
  <si>
    <t>DFMC (Riverina) [Flat]</t>
  </si>
  <si>
    <t>Riverina Fresh (Riverina)</t>
  </si>
  <si>
    <t>KY Valley (Riverina)</t>
  </si>
  <si>
    <t>Lactalis (Vic, Tas, Riverina)</t>
  </si>
  <si>
    <t>Noumi (Riverina)</t>
  </si>
  <si>
    <t>Saputo (Riverina) [7/5]</t>
  </si>
  <si>
    <t>Saputo (Riverina) [Flat]</t>
  </si>
  <si>
    <t>Vic Gippsland</t>
  </si>
  <si>
    <t>ACM (Gippsland)</t>
  </si>
  <si>
    <t>ADFC (Gippsland)</t>
  </si>
  <si>
    <t>Bega (Gippsland) [MPS 9/3]</t>
  </si>
  <si>
    <t>Bega (Gippsland) [Flat 1:2]</t>
  </si>
  <si>
    <t>Bega (Gippsland) [Flat 1:1]</t>
  </si>
  <si>
    <t>Bulla (Gippsland) [1:1]</t>
  </si>
  <si>
    <t>Bulla (Gippsland) [1:2]</t>
  </si>
  <si>
    <t>Burra (Gippsland)</t>
  </si>
  <si>
    <t>Coles (Gippsland)</t>
  </si>
  <si>
    <t>Frestine (Gippsland) [1:2]</t>
  </si>
  <si>
    <t>Frestine (Gippsland) [1:1]</t>
  </si>
  <si>
    <t>Saputo (Gippsland) [Flat]</t>
  </si>
  <si>
    <t>Saputo (Gippsland) [7/5]</t>
  </si>
  <si>
    <t>NSW South Coast</t>
  </si>
  <si>
    <t>Bega (South NSW) [MPS 1]</t>
  </si>
  <si>
    <t>Bega (South NSW) [MPS 2]</t>
  </si>
  <si>
    <t>Coles (South NSW)</t>
  </si>
  <si>
    <t>Processor</t>
  </si>
  <si>
    <t>Link to MSA</t>
  </si>
  <si>
    <t>MPS</t>
  </si>
  <si>
    <t>https://lactalis.com.au/milk-supply-agreement-2022-2023/</t>
  </si>
  <si>
    <t>Seasonal</t>
  </si>
  <si>
    <t>https://www.norco.com.au/supply-milk-agreements-2024-2025.php</t>
  </si>
  <si>
    <t>https://www.saputodairyaustralia.com.au/en/milk-supply#SupplierHandbook</t>
  </si>
  <si>
    <t>https://www.australianconsolidatedmilk.com.au/suppliers</t>
  </si>
  <si>
    <t>https://begagroup.com.au/farm-services/milk-supply-agreements/</t>
  </si>
  <si>
    <t>Flat</t>
  </si>
  <si>
    <t>https://www.bulla.com.au/farmers/resources/</t>
  </si>
  <si>
    <t>https://suppliercentral.coles.com.au/s/article/Dairy-Farmers</t>
  </si>
  <si>
    <t>https://dfmc.org.au/raw-milk-supply-2024-2025/#victoria</t>
  </si>
  <si>
    <t>https://www.aufarmsource.com.au/pricing</t>
  </si>
  <si>
    <t>https://www.kyvalleydairy.com.au/milk-supply-agreements</t>
  </si>
  <si>
    <t>https://noumi.com.au/milk-suppliers/</t>
  </si>
  <si>
    <t>https://www.riverinafresh.com.au/farmers/</t>
  </si>
  <si>
    <t>https://dfmc.org.au/raw-milk-supply-2024-2025/#south-australia</t>
  </si>
  <si>
    <t>https://www.fleurieumilkco.com.au/our-farmers/</t>
  </si>
  <si>
    <t>https://www.lacasa.com.au/our-farm-partners/</t>
  </si>
  <si>
    <t>https://udcmilk.com.au/raw-milk-supply/milk-supply-agreement-2021-2022-copy-copy-copy/</t>
  </si>
  <si>
    <t>https://www.mondelezinternational.com/australia/procurement/</t>
  </si>
  <si>
    <t>https://adfc.com.au/milk-supply/</t>
  </si>
  <si>
    <t>https://www.burrafoods.com.au/standard-forms-of-agreement/</t>
  </si>
  <si>
    <t>https://frestine.com/milk_suppliers/</t>
  </si>
  <si>
    <t>https://gvcreamery.com/farmers</t>
  </si>
  <si>
    <t>https://brownesdairy.com.au/supplier-compliance-documents/</t>
  </si>
  <si>
    <t>Row Labels</t>
  </si>
  <si>
    <t>Average of Headline Price ($/L)</t>
  </si>
  <si>
    <t>Average of Headline Price ($/kgMS)</t>
  </si>
  <si>
    <t>Lactalis (Q,NNSW)</t>
  </si>
  <si>
    <t>Norco</t>
  </si>
  <si>
    <t>ACM</t>
  </si>
  <si>
    <t>Bega</t>
  </si>
  <si>
    <t>Coles</t>
  </si>
  <si>
    <t>DFMC</t>
  </si>
  <si>
    <t>KY Valley</t>
  </si>
  <si>
    <t>Lactalis (V,T,R)</t>
  </si>
  <si>
    <t>Noumi</t>
  </si>
  <si>
    <t>Riverina Fresh</t>
  </si>
  <si>
    <t>Saputo</t>
  </si>
  <si>
    <t>Lactalis</t>
  </si>
  <si>
    <t>UDC</t>
  </si>
  <si>
    <t>Fonterra</t>
  </si>
  <si>
    <t>ADFC</t>
  </si>
  <si>
    <t>Bulla</t>
  </si>
  <si>
    <t>Burra</t>
  </si>
  <si>
    <t>Frestine</t>
  </si>
  <si>
    <t>Lactalis (Gipps &amp; WV)</t>
  </si>
  <si>
    <t>GVC</t>
  </si>
  <si>
    <t>Grand Total</t>
  </si>
  <si>
    <t>Does not include regional and proximtiy payments YET</t>
  </si>
  <si>
    <t>Does not include quality incentives</t>
  </si>
  <si>
    <t>Does not include any penalties</t>
  </si>
  <si>
    <t>Does not inlcude any levies</t>
  </si>
  <si>
    <t>Indiciative measure only, this tool does its best to try to show indiciative prices however can not be rlied upon for complete accuracy or up to date information</t>
  </si>
  <si>
    <t>1. Supplier’s farm is located in Victoria or Southern New South Wales within the following local Government areas: Victoria – Alpine, Bass Coast, Baw Baw, Campaspe, Colac Otway, Corangamite, Gannawarra, Greater Shepparton, Indigo, Latrobe City, Moira, Moyne, South Gippsland, Towong, Wangaratta, Wellington. New South Wales – Berrigan, Murray River.</t>
  </si>
  <si>
    <t>Conventional</t>
  </si>
  <si>
    <t>Organic</t>
  </si>
  <si>
    <t>A2M</t>
  </si>
  <si>
    <t>Butterfat Price ($/kg)</t>
  </si>
  <si>
    <t>Protein Price ($/kg)</t>
  </si>
  <si>
    <t>Productivity incentive rate ($/L)</t>
  </si>
  <si>
    <t>Annual litres produced</t>
  </si>
  <si>
    <t>Incentive ($/L)</t>
  </si>
  <si>
    <t>1. The supplier is located in one of ADFC’s milk collection regions (which currently covers the majority of Victoria). </t>
  </si>
  <si>
    <t>Butterfat Quality incentive ($/kg)</t>
  </si>
  <si>
    <t>Protein Quality incentive ($/kg)</t>
  </si>
  <si>
    <t>Local Government Areas; Bega and Eurobodalla.</t>
  </si>
  <si>
    <t>MPS 2</t>
  </si>
  <si>
    <t>Productivity Incentive Butterfat Rate ($/kg)</t>
  </si>
  <si>
    <t>Productivity Incentive Protein Rate ($/kg)</t>
  </si>
  <si>
    <t>Stop Charge ($)</t>
  </si>
  <si>
    <t>Freight Fee ($/L)</t>
  </si>
  <si>
    <t>Total Kg MS</t>
  </si>
  <si>
    <t>Butterfat Rate ($/kg)</t>
  </si>
  <si>
    <t>Protein Rate ($/kg)</t>
  </si>
  <si>
    <t>Red indicates fee</t>
  </si>
  <si>
    <t>MPS 1</t>
  </si>
  <si>
    <t>Local Government Areas of Gippsland specifically: Wellington, Latrobe, Baw Baw, South Gippsland, Bass Coast (east of San Remo), Cardinia, Yarra Ranges and a 30km radius of Orbost in East Gippsland.</t>
  </si>
  <si>
    <t>9:3</t>
  </si>
  <si>
    <t>Flat 1:2</t>
  </si>
  <si>
    <t>Flat 1:1</t>
  </si>
  <si>
    <t>Local Government Areas; Victoria Greater Shepparton, Moira, Campaspe, Gannawarra (east of Kerang), Wangaratta, Indigo, Ballarat, Towong, Alpine, Wodonga. Southern NSW specifically; Murray, Berrigan, Corowa.</t>
  </si>
  <si>
    <t>Dairy farms located within a collection area within the following borders and the Adelaide coastline: a straight line (West to East) from the coast to a location 25km north of our Salisbury site (at 167 Cross Keys Rd, Salisbury South); a line from the point which is 25km north of our Salisbury site to Swan Reach, a line from Swan Reach down to Coonalpyn, a line from Coonalpyn across to Meningie, then a line from Meningie to Cape Jervis;</t>
  </si>
  <si>
    <t>Productivity Incentive Volume Rate ($/L)</t>
  </si>
  <si>
    <t>Total Litres</t>
  </si>
  <si>
    <t>Rate ($/L)</t>
  </si>
  <si>
    <t>Western Districts specifically: Colac Otway (25km radius of Colac township), Corangamite, Moyne, Warrnambool, Glenelg, Southern Grampians. South Australia specifically: Grant and Wattle Range (south of Lucindale).</t>
  </si>
  <si>
    <t>Dairy Farms in the Derwent Valley between Ouse and our Lenah Valley site at 215 Lenah Valley Road, Lenah Valley, Tasmania; or within a 25km distance either side of the National Highway One travelling from Ulverstone to our Lenah Valley site at 215 Lenah Valley Road, Lenah Valley, Tasmania; in the Pyengana Valley, specifically within 5km of the Pyengana Dairy Café 163 St Columba Falls Road, Pyengana.</t>
  </si>
  <si>
    <t>Productivity Incentive Litre Rate ($/L)</t>
  </si>
  <si>
    <t>Western Australia, south west of a line from Perth to Albany (and close surrounds).</t>
  </si>
  <si>
    <t xml:space="preserve">Conventional </t>
  </si>
  <si>
    <t xml:space="preserve">A2M </t>
  </si>
  <si>
    <t>No discernable difference</t>
  </si>
  <si>
    <t>Milk price ($/L)</t>
  </si>
  <si>
    <t>Butterfat Price Adjustment ($/L)</t>
  </si>
  <si>
    <t>Protein Price Adjustment ($/L)</t>
  </si>
  <si>
    <t>Milk Collection Fee ($/L)</t>
  </si>
  <si>
    <t>1:1</t>
  </si>
  <si>
    <t>Milk price ($/kg MS)</t>
  </si>
  <si>
    <t>Price Band</t>
  </si>
  <si>
    <t>MSR</t>
  </si>
  <si>
    <t>PT</t>
  </si>
  <si>
    <t>Band 0 +PT</t>
  </si>
  <si>
    <t>&lt;1.3</t>
  </si>
  <si>
    <t>Band 0</t>
  </si>
  <si>
    <t>-</t>
  </si>
  <si>
    <t>Band 1 +PT</t>
  </si>
  <si>
    <t>&lt;1.4</t>
  </si>
  <si>
    <t>Band 1</t>
  </si>
  <si>
    <t>Band 2 +PT</t>
  </si>
  <si>
    <t>&lt;1.8</t>
  </si>
  <si>
    <t>Band 2</t>
  </si>
  <si>
    <t>Band 3 +PT</t>
  </si>
  <si>
    <t>&lt;2.0</t>
  </si>
  <si>
    <t>Band 3</t>
  </si>
  <si>
    <t>Final price</t>
  </si>
  <si>
    <t>1:2</t>
  </si>
  <si>
    <t>Butterfat price ($/kg )</t>
  </si>
  <si>
    <t>Protein price ($/kg)</t>
  </si>
  <si>
    <t>Fat price ($/kg)</t>
  </si>
  <si>
    <t>Final Fat price ($/kg)</t>
  </si>
  <si>
    <t>Final Protein price ($/kg)</t>
  </si>
  <si>
    <t>Gippsland region, border of collection region not defined</t>
  </si>
  <si>
    <t>Butterfat Productivity Incentive ($/kg)</t>
  </si>
  <si>
    <t>Protein Productivity Incentive ($/kg)</t>
  </si>
  <si>
    <t>Monthly kg MS</t>
  </si>
  <si>
    <t>Butterfat Incentive Rate ($/kg)</t>
  </si>
  <si>
    <t>Protein Incentive Rate ($/kg)</t>
  </si>
  <si>
    <t>Areas Serviced</t>
  </si>
  <si>
    <t>Vic, Riverina, SA (SE)</t>
  </si>
  <si>
    <t>TAS</t>
  </si>
  <si>
    <t>Local Government Areas; Victoria Greater Shepparton, Moira, Campaspe, Gannawarra (east of Kerang), Wangaratta, Indigo, Ballarat. Southern NSW specifically; Murray, Berrigan, Corowa
Western Districts specifically: Colac Otway (25km radius of Colac township), Corangamite, Moyne, Warrnambool, Glenelg, Southern Grampians.</t>
  </si>
  <si>
    <t>Traditional</t>
  </si>
  <si>
    <t>Productivity Incentive Rate ($/kg MS)</t>
  </si>
  <si>
    <t>Rate ($/kg MS)</t>
  </si>
  <si>
    <t>9/3</t>
  </si>
  <si>
    <t>a distance by road no greater than 150 km from the Bega Dairy &amp; Drinks factory in Salisbury.</t>
  </si>
  <si>
    <t>Location Incentive ($/L)</t>
  </si>
  <si>
    <t>Fleurieu region</t>
  </si>
  <si>
    <t>Fresian</t>
  </si>
  <si>
    <t>Jersey</t>
  </si>
  <si>
    <t>Milk Price ($/L)</t>
  </si>
  <si>
    <t>Tasmania</t>
  </si>
  <si>
    <t>8:4</t>
  </si>
  <si>
    <t>Tasmania Capacity Adjustment Butterfat ($/kg)</t>
  </si>
  <si>
    <t>Tasmania Capacity Adjustment Protein ($/kg)</t>
  </si>
  <si>
    <t>Monthly Production Incentive Butterfat ($/kg)</t>
  </si>
  <si>
    <t>Monthly Production Incentive Protein ($/kg)</t>
  </si>
  <si>
    <t>Total Monthly MS (kg)</t>
  </si>
  <si>
    <t>Fat Incentive ($/L)</t>
  </si>
  <si>
    <t>Protein Incentive ($/L)</t>
  </si>
  <si>
    <t>7:5</t>
  </si>
  <si>
    <t>Victoria</t>
  </si>
  <si>
    <t>NSW</t>
  </si>
  <si>
    <t>Fresh Milk Supplement Butterfat ($/kg)</t>
  </si>
  <si>
    <t>Fresh Milk Supplement Protein ($/kg)</t>
  </si>
  <si>
    <t>SA</t>
  </si>
  <si>
    <t>Gipplsand, South West Vic and Northern Vic regions</t>
  </si>
  <si>
    <t>Price ($/kg MS)</t>
  </si>
  <si>
    <t>Unsure of catchment area but processor is located in Kyabram</t>
  </si>
  <si>
    <t>Areas serviced</t>
  </si>
  <si>
    <t>Base Price ($/L)</t>
  </si>
  <si>
    <t>Milk Fat Bonus Rate ($/kg)</t>
  </si>
  <si>
    <t>Within 150km from site</t>
  </si>
  <si>
    <t>Volume Incentive ($/L)</t>
  </si>
  <si>
    <t>Volume Incentive ($/kg)</t>
  </si>
  <si>
    <t>Victoria – Gippsland. As far east as Briagolong, as far south as Wilsons Promontory as far north as Neerim North as far west as Yarra Valley</t>
  </si>
  <si>
    <t>Victoria Western District – As far north as the Princes Highway, east to Winchelsea and west as far as South Australian border, down to Port Campbell</t>
  </si>
  <si>
    <t>Victoria – Northern Victoria and Southern Riverina – As far north as the Riverina region (excluding Wagga Wagga) across to the north east of Victoria, south to the Shepparton and King Valley areas and west to Swan Hill</t>
  </si>
  <si>
    <t>Tasmania – North East region of Tasmania – Northern region to Winnaleah, eastern region to Ringarooma and no further south of Launceston</t>
  </si>
  <si>
    <t>Butterfat Volume Adjustment ($/kg)</t>
  </si>
  <si>
    <t>Protein Volume Adjustment ($/kg)</t>
  </si>
  <si>
    <t xml:space="preserve">Monthly Total MS (kg) </t>
  </si>
  <si>
    <t>Butterfat Adjustment ($/kg)</t>
  </si>
  <si>
    <t>Protein Adjustment ($/kg)</t>
  </si>
  <si>
    <t>Proximity adjustment butterfat ($/kg)</t>
  </si>
  <si>
    <t>Proximity adjustment protein ($/kg)</t>
  </si>
  <si>
    <t>Regional incentive butterfat ($/kg)</t>
  </si>
  <si>
    <t>Regional incentive protein ($/kg)</t>
  </si>
  <si>
    <t>Old data but structure remains</t>
  </si>
  <si>
    <t>North Vic</t>
  </si>
  <si>
    <t>West Vic</t>
  </si>
  <si>
    <t>Does not include regional or proximity adjustrments</t>
  </si>
  <si>
    <t>East Vic</t>
  </si>
  <si>
    <t>Have not included yet</t>
  </si>
  <si>
    <t>Victoria – Gippsland – As far east as Briagolong, as far south as Wilsons Promontory as far north as Neerim North as far west as Yarra Valley.</t>
  </si>
  <si>
    <t>Monthly Total MS (kg)</t>
  </si>
  <si>
    <t>Queensland – As far north as Rockhampton (and surrounds) to the Qld / NSW border</t>
  </si>
  <si>
    <t>Northern NSW – From the Qld / NSW border to as far south as Taree, Gloucester, Tamworth and Walcha regions. This does not include the Hunter Valley</t>
  </si>
  <si>
    <t>Composition Adjustment ($/L)</t>
  </si>
  <si>
    <t>Monthly Total Protein (kg)</t>
  </si>
  <si>
    <t>Rate ($/kg)</t>
  </si>
  <si>
    <t>Monthly Total Milk Solids (%)</t>
  </si>
  <si>
    <t>Central South Australia region – from Two Wells (just north of Adelaide) to Meningie to Tintinara (including all of the Fleurieu)</t>
  </si>
  <si>
    <t>South East South Australia (Mt Gambier Region)</t>
  </si>
  <si>
    <t>Volume Adjustment Butterfat ($/kg)</t>
  </si>
  <si>
    <t>Volume Adjustment Protein ($/kg)</t>
  </si>
  <si>
    <t>Western Australia – from Waroona (North) to Augusta (South) and Albany (South East)</t>
  </si>
  <si>
    <t>Milk Fat Adjustment ($/L)</t>
  </si>
  <si>
    <t>Protein Adjustment ($/L)</t>
  </si>
  <si>
    <t>Volume Adjustment ($/L)</t>
  </si>
  <si>
    <t>Monthly Volume Supplied (L)</t>
  </si>
  <si>
    <t>From the Hunter Valley in the North to Milton on the South Coast – includes the Wagga Wagga region and Central West Dubbo region</t>
  </si>
  <si>
    <t>Milk Volume Price ($/L)</t>
  </si>
  <si>
    <t>Monthly MS (kg)</t>
  </si>
  <si>
    <t>the supplier’s dairy farm is located within a 250 km radius (as the crow flies) of Mondelēz International’s Burnie Milk Processing Plant with an address at 135-141 Bass Highway, Burnie, Tasmania; and</t>
  </si>
  <si>
    <t>Minimum Price ($/kgMS)</t>
  </si>
  <si>
    <t>Volume Incentive Rate ($/kg MS)</t>
  </si>
  <si>
    <t>Farm is located no further north than gympie (QLD) and no further south than hunter valley (NSW) with proximity to other Norco farms to allow for efficiencies in milk collection</t>
  </si>
  <si>
    <t>Supplying milk south of Telegraph Point Bridge, Pacific Highway, NSW exclusive of Wilson River Catchment west of bridge</t>
  </si>
  <si>
    <t>Litre Payment ($/L)</t>
  </si>
  <si>
    <t>Seasonal Bonus Payments ($/L)</t>
  </si>
  <si>
    <t>Other Bonus Rate ($/L)</t>
  </si>
  <si>
    <t>Stop charge ($)</t>
  </si>
  <si>
    <t>Monthly Milk Solids (Kg MS)</t>
  </si>
  <si>
    <t xml:space="preserve">Seasonal Ratio </t>
  </si>
  <si>
    <t>Seasonal Bonus Payment Rate ($/L)</t>
  </si>
  <si>
    <t>Noumi’s preference are farms that are located within 250km of Noumi’s Shepparton site at 1/102 Old Dookie Road, Shepparton, Victoria, with proximity to other farm businesses to allow for efficiencies in milk collection.</t>
  </si>
  <si>
    <t>Zone 1 is for farms located in the Wagga Wagga region. Zone 2 is for farms located in the Southern RiverinaFinley Region. Zone 3 is for farms located in the Northern Victoria-Murray Valley region.</t>
  </si>
  <si>
    <t>Butterfat Incentive Rate ($/kg MS)</t>
  </si>
  <si>
    <t>Protein Incentive Rate ($/kg MS)</t>
  </si>
  <si>
    <t>Volumetric Charge Rate ($/L)</t>
  </si>
  <si>
    <t>Total MS (kg)</t>
  </si>
  <si>
    <t>being a farm located in the irrigation areas of Shepparton, Central Goulburn, Goulburn-Broken, Rochester-Campaspe, Loddon Valley, Murray Valley (including Riverina NSW) and Torrumbarry or the North-East Victorian ranges region (including the shires of Towong, Indigo, Alpine, Benalla, Wodonga and Wangaratta);</t>
  </si>
  <si>
    <t>Butterfat Off Peak Payment ($/kg)</t>
  </si>
  <si>
    <t>Protein Off Peak Payment ($/kg)</t>
  </si>
  <si>
    <t>Butterfat Productivity ($/kg)</t>
  </si>
  <si>
    <t>Protein Productivity ($/kg)</t>
  </si>
  <si>
    <t>OPP</t>
  </si>
  <si>
    <t>Butterfat OPP Rate ($/kg)</t>
  </si>
  <si>
    <t>Protein OPP Rate ($/kg)</t>
  </si>
  <si>
    <t>being located on mainland Tasmania</t>
  </si>
  <si>
    <t>being a farm located in East Gippsland, Wellington, Latrobe, Baw Baw, South Gippsland, Cardinia or the Bass Coast</t>
  </si>
  <si>
    <t>being the dairy regions in the Sydney area, Southern Highlands, South Coast, Hunter Valley, Manning Valley, Central West, Tamworth, Dubbo, Comboyne and Bodalla;</t>
  </si>
  <si>
    <t>being a farm located in South-West Victoria which is defined as west of the Calder Highway and south of the latitudinal line between Bendigo, Horsham and the South Australia/Victoria border or a farm located in South Australia</t>
  </si>
  <si>
    <t>Butterfat Off peak Payment ($/kg)</t>
  </si>
  <si>
    <t>Protein Off peak Payment ($/kg)</t>
  </si>
  <si>
    <t>Location of the Supplier is from the South West Victoria and South East South Australia where the supplier has passed UDC requirements as outlined in the Standard Form of Agreemen</t>
  </si>
  <si>
    <t>Monthlly Incentive ($/kg MS)</t>
  </si>
  <si>
    <t>Quantity Incentive Rate ($/kg MS)</t>
  </si>
  <si>
    <t>Kg of milk solids Supplied</t>
  </si>
  <si>
    <t>Butterfat Rate ($/kg MS)</t>
  </si>
  <si>
    <t>Flat Milk Incentive Rate ($)</t>
  </si>
  <si>
    <t>Supplier flat milk ratio</t>
  </si>
  <si>
    <t xml:space="preserve">Dairy is located in a logistically convenient geographical 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</si>
</sst>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$&quot;#,##0;[Red]\-&quot;$&quot;#,##0"/>
    <numFmt numFmtId="165" formatCode="_-&quot;$&quot;* #,##0.00_-;\-&quot;$&quot;* #,##0.00_-;_-&quot;$&quot;* &quot;-&quot;??_-;_-@_-"/>
    <numFmt numFmtId="166" formatCode="0.0%"/>
    <numFmt numFmtId="167" formatCode="_-&quot;$&quot;* #,##0_-;\-&quot;$&quot;* #,##0_-;_-&quot;$&quot;* &quot;-&quot;??_-;_-@_-"/>
    <numFmt numFmtId="168" formatCode="_-* #,##0_-;\-* #,##0_-;_-* &quot;-&quot;??_-;_-@_-"/>
    <numFmt numFmtId="169" formatCode="0.000"/>
    <numFmt numFmtId="170" formatCode="_-* #,##0.000_-;\-* #,##0.000_-;_-* &quot;-&quot;??_-;_-@_-"/>
    <numFmt numFmtId="171" formatCode="_-* #,##0.0000_-;\-* #,##0.0000_-;_-* &quot;-&quot;??_-;_-@_-"/>
    <numFmt numFmtId="172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3"/>
      <color rgb="FF4D4D4D"/>
      <name val="Arial"/>
      <family val="2"/>
    </font>
    <font>
      <sz val="12"/>
      <color rgb="FF06572E"/>
      <name val="Arial"/>
      <family val="2"/>
    </font>
    <font>
      <sz val="11"/>
      <color rgb="FF696969"/>
      <name val="Arial"/>
      <family val="2"/>
    </font>
    <font>
      <sz val="11"/>
      <color rgb="FF666666"/>
      <name val="Arial"/>
      <family val="2"/>
    </font>
    <font>
      <sz val="11"/>
      <color rgb="FF2C2329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231F20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</font>
    <font>
      <u/>
      <sz val="8"/>
      <color theme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1" fontId="0" fillId="0" borderId="0" xfId="0" applyNumberFormat="1"/>
    <xf numFmtId="1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4" borderId="6" xfId="0" applyFill="1" applyBorder="1"/>
    <xf numFmtId="0" fontId="2" fillId="5" borderId="4" xfId="0" applyFont="1" applyFill="1" applyBorder="1"/>
    <xf numFmtId="0" fontId="0" fillId="6" borderId="7" xfId="0" applyFill="1" applyBorder="1"/>
    <xf numFmtId="0" fontId="2" fillId="5" borderId="8" xfId="0" applyFont="1" applyFill="1" applyBorder="1"/>
    <xf numFmtId="167" fontId="0" fillId="3" borderId="4" xfId="2" applyNumberFormat="1" applyFont="1" applyFill="1" applyBorder="1"/>
    <xf numFmtId="167" fontId="2" fillId="3" borderId="2" xfId="2" applyNumberFormat="1" applyFont="1" applyFill="1" applyBorder="1"/>
    <xf numFmtId="167" fontId="2" fillId="3" borderId="3" xfId="2" applyNumberFormat="1" applyFont="1" applyFill="1" applyBorder="1"/>
    <xf numFmtId="168" fontId="0" fillId="4" borderId="0" xfId="3" applyNumberFormat="1" applyFont="1" applyFill="1" applyBorder="1"/>
    <xf numFmtId="0" fontId="3" fillId="5" borderId="4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7" borderId="0" xfId="0" applyFill="1"/>
    <xf numFmtId="0" fontId="4" fillId="0" borderId="0" xfId="4"/>
    <xf numFmtId="0" fontId="7" fillId="0" borderId="0" xfId="0" applyFont="1"/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/>
    <xf numFmtId="0" fontId="10" fillId="0" borderId="0" xfId="0" applyFont="1" applyAlignment="1">
      <alignment horizontal="left" vertical="center" wrapText="1" indent="1"/>
    </xf>
    <xf numFmtId="169" fontId="0" fillId="0" borderId="0" xfId="0" applyNumberFormat="1"/>
    <xf numFmtId="0" fontId="8" fillId="0" borderId="0" xfId="0" applyFont="1"/>
    <xf numFmtId="20" fontId="0" fillId="0" borderId="0" xfId="0" applyNumberFormat="1"/>
    <xf numFmtId="0" fontId="13" fillId="0" borderId="0" xfId="0" applyFont="1"/>
    <xf numFmtId="0" fontId="8" fillId="8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0" fillId="6" borderId="10" xfId="0" applyFill="1" applyBorder="1"/>
    <xf numFmtId="0" fontId="0" fillId="6" borderId="11" xfId="0" applyFill="1" applyBorder="1"/>
    <xf numFmtId="0" fontId="0" fillId="4" borderId="12" xfId="0" applyFill="1" applyBorder="1"/>
    <xf numFmtId="167" fontId="2" fillId="3" borderId="1" xfId="2" applyNumberFormat="1" applyFont="1" applyFill="1" applyBorder="1"/>
    <xf numFmtId="0" fontId="2" fillId="6" borderId="7" xfId="0" applyFont="1" applyFill="1" applyBorder="1"/>
    <xf numFmtId="167" fontId="14" fillId="3" borderId="4" xfId="2" applyNumberFormat="1" applyFont="1" applyFill="1" applyBorder="1"/>
    <xf numFmtId="0" fontId="14" fillId="4" borderId="0" xfId="0" applyFont="1" applyFill="1"/>
    <xf numFmtId="165" fontId="0" fillId="0" borderId="0" xfId="0" applyNumberFormat="1"/>
    <xf numFmtId="0" fontId="2" fillId="6" borderId="5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13" xfId="0" applyFill="1" applyBorder="1"/>
    <xf numFmtId="0" fontId="0" fillId="3" borderId="14" xfId="0" applyFill="1" applyBorder="1"/>
    <xf numFmtId="0" fontId="0" fillId="3" borderId="4" xfId="0" applyFill="1" applyBorder="1"/>
    <xf numFmtId="0" fontId="0" fillId="3" borderId="17" xfId="0" applyFill="1" applyBorder="1"/>
    <xf numFmtId="0" fontId="0" fillId="4" borderId="4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17" xfId="0" applyFill="1" applyBorder="1"/>
    <xf numFmtId="0" fontId="0" fillId="4" borderId="22" xfId="0" applyFill="1" applyBorder="1"/>
    <xf numFmtId="0" fontId="0" fillId="4" borderId="23" xfId="0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5" borderId="15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2" fillId="5" borderId="20" xfId="0" applyFont="1" applyFill="1" applyBorder="1"/>
    <xf numFmtId="0" fontId="0" fillId="3" borderId="21" xfId="0" applyFill="1" applyBorder="1"/>
    <xf numFmtId="0" fontId="2" fillId="5" borderId="17" xfId="0" applyFont="1" applyFill="1" applyBorder="1"/>
    <xf numFmtId="0" fontId="0" fillId="3" borderId="23" xfId="0" applyFill="1" applyBorder="1"/>
    <xf numFmtId="0" fontId="0" fillId="7" borderId="4" xfId="0" applyFill="1" applyBorder="1"/>
    <xf numFmtId="43" fontId="0" fillId="3" borderId="4" xfId="0" applyNumberFormat="1" applyFill="1" applyBorder="1"/>
    <xf numFmtId="0" fontId="0" fillId="7" borderId="22" xfId="0" applyFill="1" applyBorder="1"/>
    <xf numFmtId="43" fontId="0" fillId="3" borderId="22" xfId="0" applyNumberFormat="1" applyFill="1" applyBorder="1"/>
    <xf numFmtId="0" fontId="2" fillId="5" borderId="19" xfId="0" applyFont="1" applyFill="1" applyBorder="1" applyAlignment="1">
      <alignment wrapText="1"/>
    </xf>
    <xf numFmtId="0" fontId="11" fillId="3" borderId="21" xfId="0" applyFont="1" applyFill="1" applyBorder="1"/>
    <xf numFmtId="0" fontId="11" fillId="3" borderId="23" xfId="0" applyFont="1" applyFill="1" applyBorder="1"/>
    <xf numFmtId="0" fontId="0" fillId="3" borderId="22" xfId="0" applyFill="1" applyBorder="1"/>
    <xf numFmtId="169" fontId="0" fillId="4" borderId="4" xfId="0" applyNumberFormat="1" applyFill="1" applyBorder="1"/>
    <xf numFmtId="169" fontId="0" fillId="4" borderId="21" xfId="0" applyNumberFormat="1" applyFill="1" applyBorder="1"/>
    <xf numFmtId="169" fontId="0" fillId="4" borderId="23" xfId="0" applyNumberFormat="1" applyFill="1" applyBorder="1"/>
    <xf numFmtId="0" fontId="11" fillId="3" borderId="4" xfId="0" applyFont="1" applyFill="1" applyBorder="1"/>
    <xf numFmtId="169" fontId="0" fillId="4" borderId="22" xfId="0" applyNumberFormat="1" applyFill="1" applyBorder="1"/>
    <xf numFmtId="0" fontId="11" fillId="3" borderId="22" xfId="0" applyFont="1" applyFill="1" applyBorder="1"/>
    <xf numFmtId="0" fontId="0" fillId="9" borderId="4" xfId="0" applyFill="1" applyBorder="1"/>
    <xf numFmtId="0" fontId="0" fillId="9" borderId="21" xfId="0" applyFill="1" applyBorder="1"/>
    <xf numFmtId="0" fontId="0" fillId="9" borderId="22" xfId="0" applyFill="1" applyBorder="1"/>
    <xf numFmtId="0" fontId="0" fillId="9" borderId="23" xfId="0" applyFill="1" applyBorder="1"/>
    <xf numFmtId="0" fontId="11" fillId="4" borderId="4" xfId="0" applyFont="1" applyFill="1" applyBorder="1"/>
    <xf numFmtId="0" fontId="11" fillId="4" borderId="21" xfId="0" applyFont="1" applyFill="1" applyBorder="1"/>
    <xf numFmtId="0" fontId="11" fillId="4" borderId="23" xfId="0" applyFont="1" applyFill="1" applyBorder="1"/>
    <xf numFmtId="0" fontId="11" fillId="7" borderId="21" xfId="0" applyFont="1" applyFill="1" applyBorder="1"/>
    <xf numFmtId="0" fontId="11" fillId="7" borderId="23" xfId="0" applyFont="1" applyFill="1" applyBorder="1"/>
    <xf numFmtId="0" fontId="0" fillId="7" borderId="21" xfId="0" applyFill="1" applyBorder="1"/>
    <xf numFmtId="0" fontId="0" fillId="7" borderId="23" xfId="0" applyFill="1" applyBorder="1"/>
    <xf numFmtId="2" fontId="0" fillId="4" borderId="20" xfId="0" applyNumberFormat="1" applyFill="1" applyBorder="1"/>
    <xf numFmtId="2" fontId="0" fillId="4" borderId="4" xfId="0" applyNumberFormat="1" applyFill="1" applyBorder="1"/>
    <xf numFmtId="2" fontId="0" fillId="4" borderId="17" xfId="0" applyNumberFormat="1" applyFill="1" applyBorder="1"/>
    <xf numFmtId="2" fontId="0" fillId="4" borderId="22" xfId="0" applyNumberFormat="1" applyFill="1" applyBorder="1"/>
    <xf numFmtId="172" fontId="0" fillId="3" borderId="21" xfId="0" applyNumberFormat="1" applyFill="1" applyBorder="1"/>
    <xf numFmtId="172" fontId="0" fillId="3" borderId="23" xfId="0" applyNumberFormat="1" applyFill="1" applyBorder="1"/>
    <xf numFmtId="2" fontId="2" fillId="5" borderId="15" xfId="0" applyNumberFormat="1" applyFont="1" applyFill="1" applyBorder="1"/>
    <xf numFmtId="2" fontId="0" fillId="4" borderId="21" xfId="0" applyNumberFormat="1" applyFill="1" applyBorder="1"/>
    <xf numFmtId="2" fontId="0" fillId="4" borderId="23" xfId="0" applyNumberFormat="1" applyFill="1" applyBorder="1"/>
    <xf numFmtId="43" fontId="0" fillId="3" borderId="4" xfId="3" applyFont="1" applyFill="1" applyBorder="1"/>
    <xf numFmtId="43" fontId="0" fillId="3" borderId="21" xfId="3" applyFont="1" applyFill="1" applyBorder="1"/>
    <xf numFmtId="43" fontId="0" fillId="3" borderId="22" xfId="3" applyFont="1" applyFill="1" applyBorder="1"/>
    <xf numFmtId="43" fontId="0" fillId="3" borderId="23" xfId="3" applyFont="1" applyFill="1" applyBorder="1"/>
    <xf numFmtId="171" fontId="0" fillId="3" borderId="4" xfId="0" applyNumberFormat="1" applyFill="1" applyBorder="1"/>
    <xf numFmtId="170" fontId="0" fillId="3" borderId="4" xfId="0" applyNumberFormat="1" applyFill="1" applyBorder="1"/>
    <xf numFmtId="171" fontId="0" fillId="3" borderId="22" xfId="0" applyNumberFormat="1" applyFill="1" applyBorder="1"/>
    <xf numFmtId="170" fontId="0" fillId="3" borderId="22" xfId="0" applyNumberFormat="1" applyFill="1" applyBorder="1"/>
    <xf numFmtId="2" fontId="0" fillId="7" borderId="4" xfId="0" applyNumberFormat="1" applyFill="1" applyBorder="1"/>
    <xf numFmtId="2" fontId="0" fillId="7" borderId="20" xfId="0" applyNumberFormat="1" applyFill="1" applyBorder="1"/>
    <xf numFmtId="2" fontId="0" fillId="7" borderId="17" xfId="0" applyNumberFormat="1" applyFill="1" applyBorder="1"/>
    <xf numFmtId="2" fontId="0" fillId="7" borderId="22" xfId="0" applyNumberFormat="1" applyFill="1" applyBorder="1"/>
    <xf numFmtId="0" fontId="11" fillId="4" borderId="22" xfId="0" applyFont="1" applyFill="1" applyBorder="1"/>
    <xf numFmtId="0" fontId="0" fillId="3" borderId="24" xfId="0" applyFill="1" applyBorder="1"/>
    <xf numFmtId="2" fontId="2" fillId="5" borderId="19" xfId="0" applyNumberFormat="1" applyFont="1" applyFill="1" applyBorder="1"/>
    <xf numFmtId="2" fontId="2" fillId="5" borderId="16" xfId="0" applyNumberFormat="1" applyFont="1" applyFill="1" applyBorder="1"/>
    <xf numFmtId="166" fontId="2" fillId="5" borderId="19" xfId="1" applyNumberFormat="1" applyFont="1" applyFill="1" applyBorder="1"/>
    <xf numFmtId="164" fontId="0" fillId="0" borderId="0" xfId="0" applyNumberFormat="1"/>
    <xf numFmtId="165" fontId="0" fillId="0" borderId="0" xfId="2" applyFont="1"/>
    <xf numFmtId="165" fontId="4" fillId="0" borderId="0" xfId="4" applyNumberFormat="1"/>
    <xf numFmtId="0" fontId="4" fillId="0" borderId="0" xfId="4" applyAlignment="1">
      <alignment wrapText="1"/>
    </xf>
    <xf numFmtId="165" fontId="0" fillId="3" borderId="25" xfId="2" applyFont="1" applyFill="1" applyBorder="1"/>
    <xf numFmtId="0" fontId="0" fillId="4" borderId="33" xfId="0" applyFill="1" applyBorder="1"/>
    <xf numFmtId="0" fontId="0" fillId="4" borderId="0" xfId="0" applyFill="1" applyBorder="1"/>
    <xf numFmtId="0" fontId="0" fillId="4" borderId="34" xfId="0" applyFill="1" applyBorder="1"/>
    <xf numFmtId="165" fontId="0" fillId="10" borderId="25" xfId="2" applyFont="1" applyFill="1" applyBorder="1"/>
    <xf numFmtId="0" fontId="2" fillId="11" borderId="29" xfId="0" applyFont="1" applyFill="1" applyBorder="1" applyAlignment="1">
      <alignment horizontal="left" indent="2"/>
    </xf>
    <xf numFmtId="0" fontId="15" fillId="12" borderId="26" xfId="0" applyFont="1" applyFill="1" applyBorder="1"/>
    <xf numFmtId="0" fontId="15" fillId="12" borderId="27" xfId="0" applyFont="1" applyFill="1" applyBorder="1"/>
    <xf numFmtId="0" fontId="15" fillId="12" borderId="28" xfId="0" applyFont="1" applyFill="1" applyBorder="1"/>
    <xf numFmtId="0" fontId="2" fillId="5" borderId="4" xfId="0" applyFont="1" applyFill="1" applyBorder="1" applyAlignment="1">
      <alignment wrapText="1"/>
    </xf>
    <xf numFmtId="0" fontId="16" fillId="5" borderId="4" xfId="0" applyFont="1" applyFill="1" applyBorder="1"/>
    <xf numFmtId="165" fontId="4" fillId="0" borderId="0" xfId="4" applyNumberFormat="1" applyAlignment="1">
      <alignment wrapText="1"/>
    </xf>
    <xf numFmtId="165" fontId="17" fillId="3" borderId="30" xfId="4" applyNumberFormat="1" applyFont="1" applyFill="1" applyBorder="1"/>
    <xf numFmtId="165" fontId="17" fillId="10" borderId="30" xfId="4" applyNumberFormat="1" applyFont="1" applyFill="1" applyBorder="1"/>
    <xf numFmtId="49" fontId="0" fillId="0" borderId="0" xfId="0" applyNumberFormat="1"/>
    <xf numFmtId="0" fontId="0" fillId="3" borderId="21" xfId="0" applyFill="1" applyBorder="1" applyAlignment="1">
      <alignment wrapText="1"/>
    </xf>
    <xf numFmtId="0" fontId="2" fillId="5" borderId="25" xfId="0" applyFont="1" applyFill="1" applyBorder="1"/>
    <xf numFmtId="0" fontId="0" fillId="3" borderId="25" xfId="0" applyFill="1" applyBorder="1"/>
    <xf numFmtId="0" fontId="0" fillId="4" borderId="25" xfId="0" applyFill="1" applyBorder="1"/>
    <xf numFmtId="0" fontId="2" fillId="5" borderId="26" xfId="0" applyFont="1" applyFill="1" applyBorder="1"/>
    <xf numFmtId="0" fontId="2" fillId="5" borderId="27" xfId="0" applyFont="1" applyFill="1" applyBorder="1"/>
    <xf numFmtId="0" fontId="2" fillId="5" borderId="28" xfId="0" applyFont="1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5" xfId="0" applyFill="1" applyBorder="1"/>
    <xf numFmtId="0" fontId="0" fillId="4" borderId="31" xfId="0" applyFill="1" applyBorder="1"/>
    <xf numFmtId="0" fontId="0" fillId="4" borderId="32" xfId="0" applyFill="1" applyBorder="1"/>
    <xf numFmtId="0" fontId="18" fillId="14" borderId="15" xfId="0" applyFont="1" applyFill="1" applyBorder="1" applyAlignment="1">
      <alignment wrapText="1"/>
    </xf>
    <xf numFmtId="0" fontId="18" fillId="14" borderId="19" xfId="0" applyFont="1" applyFill="1" applyBorder="1" applyAlignment="1">
      <alignment wrapText="1"/>
    </xf>
    <xf numFmtId="0" fontId="18" fillId="14" borderId="20" xfId="0" applyFont="1" applyFill="1" applyBorder="1" applyAlignment="1"/>
    <xf numFmtId="0" fontId="19" fillId="15" borderId="4" xfId="0" applyFont="1" applyFill="1" applyBorder="1" applyAlignment="1"/>
    <xf numFmtId="0" fontId="19" fillId="16" borderId="4" xfId="0" applyFont="1" applyFill="1" applyBorder="1" applyAlignment="1"/>
    <xf numFmtId="0" fontId="18" fillId="14" borderId="17" xfId="0" applyFont="1" applyFill="1" applyBorder="1" applyAlignment="1"/>
    <xf numFmtId="0" fontId="2" fillId="11" borderId="35" xfId="0" applyFont="1" applyFill="1" applyBorder="1" applyAlignment="1">
      <alignment horizontal="left" indent="2"/>
    </xf>
    <xf numFmtId="0" fontId="2" fillId="5" borderId="29" xfId="0" applyFont="1" applyFill="1" applyBorder="1" applyAlignment="1">
      <alignment horizontal="left" indent="2"/>
    </xf>
    <xf numFmtId="0" fontId="2" fillId="5" borderId="36" xfId="0" applyFont="1" applyFill="1" applyBorder="1" applyAlignment="1">
      <alignment horizontal="left" indent="2"/>
    </xf>
    <xf numFmtId="0" fontId="2" fillId="11" borderId="36" xfId="0" applyFont="1" applyFill="1" applyBorder="1" applyAlignment="1">
      <alignment horizontal="left" indent="2"/>
    </xf>
    <xf numFmtId="165" fontId="0" fillId="3" borderId="37" xfId="2" applyFont="1" applyFill="1" applyBorder="1"/>
    <xf numFmtId="165" fontId="17" fillId="10" borderId="40" xfId="4" applyNumberFormat="1" applyFont="1" applyFill="1" applyBorder="1"/>
    <xf numFmtId="165" fontId="17" fillId="3" borderId="39" xfId="4" applyNumberFormat="1" applyFont="1" applyFill="1" applyBorder="1"/>
    <xf numFmtId="165" fontId="0" fillId="3" borderId="38" xfId="2" applyFont="1" applyFill="1" applyBorder="1"/>
    <xf numFmtId="168" fontId="0" fillId="13" borderId="0" xfId="3" applyNumberFormat="1" applyFont="1" applyFill="1" applyBorder="1"/>
    <xf numFmtId="43" fontId="0" fillId="13" borderId="0" xfId="3" applyFont="1" applyFill="1" applyBorder="1"/>
    <xf numFmtId="168" fontId="0" fillId="2" borderId="0" xfId="3" applyNumberFormat="1" applyFont="1" applyFill="1" applyBorder="1"/>
    <xf numFmtId="43" fontId="0" fillId="2" borderId="0" xfId="3" applyFont="1" applyFill="1" applyBorder="1"/>
    <xf numFmtId="0" fontId="2" fillId="12" borderId="41" xfId="0" applyFont="1" applyFill="1" applyBorder="1" applyAlignment="1">
      <alignment wrapText="1"/>
    </xf>
    <xf numFmtId="0" fontId="2" fillId="12" borderId="33" xfId="0" applyFont="1" applyFill="1" applyBorder="1" applyAlignment="1">
      <alignment wrapText="1"/>
    </xf>
    <xf numFmtId="0" fontId="2" fillId="12" borderId="42" xfId="0" applyFont="1" applyFill="1" applyBorder="1" applyAlignment="1">
      <alignment wrapText="1"/>
    </xf>
    <xf numFmtId="0" fontId="0" fillId="11" borderId="43" xfId="0" applyFill="1" applyBorder="1"/>
    <xf numFmtId="168" fontId="2" fillId="3" borderId="44" xfId="3" applyNumberFormat="1" applyFont="1" applyFill="1" applyBorder="1"/>
    <xf numFmtId="0" fontId="0" fillId="5" borderId="43" xfId="0" applyFill="1" applyBorder="1"/>
    <xf numFmtId="168" fontId="2" fillId="10" borderId="44" xfId="3" applyNumberFormat="1" applyFont="1" applyFill="1" applyBorder="1"/>
    <xf numFmtId="0" fontId="0" fillId="4" borderId="43" xfId="0" applyFill="1" applyBorder="1"/>
    <xf numFmtId="168" fontId="0" fillId="4" borderId="44" xfId="3" applyNumberFormat="1" applyFont="1" applyFill="1" applyBorder="1"/>
    <xf numFmtId="0" fontId="2" fillId="12" borderId="47" xfId="0" applyFont="1" applyFill="1" applyBorder="1"/>
    <xf numFmtId="0" fontId="0" fillId="2" borderId="48" xfId="0" applyFill="1" applyBorder="1"/>
    <xf numFmtId="168" fontId="2" fillId="9" borderId="48" xfId="3" applyNumberFormat="1" applyFont="1" applyFill="1" applyBorder="1"/>
    <xf numFmtId="168" fontId="2" fillId="9" borderId="49" xfId="3" applyNumberFormat="1" applyFont="1" applyFill="1" applyBorder="1"/>
    <xf numFmtId="0" fontId="0" fillId="5" borderId="45" xfId="0" applyFill="1" applyBorder="1"/>
    <xf numFmtId="168" fontId="0" fillId="2" borderId="34" xfId="3" applyNumberFormat="1" applyFont="1" applyFill="1" applyBorder="1"/>
    <xf numFmtId="43" fontId="0" fillId="2" borderId="34" xfId="3" applyFont="1" applyFill="1" applyBorder="1"/>
    <xf numFmtId="168" fontId="2" fillId="10" borderId="46" xfId="3" applyNumberFormat="1" applyFont="1" applyFill="1" applyBorder="1"/>
    <xf numFmtId="168" fontId="0" fillId="0" borderId="0" xfId="3" applyNumberFormat="1" applyFont="1" applyFill="1" applyBorder="1"/>
    <xf numFmtId="0" fontId="0" fillId="0" borderId="0" xfId="0" applyFill="1" applyBorder="1"/>
    <xf numFmtId="168" fontId="0" fillId="17" borderId="0" xfId="3" applyNumberFormat="1" applyFont="1" applyFill="1" applyBorder="1"/>
    <xf numFmtId="43" fontId="0" fillId="17" borderId="0" xfId="3" applyFont="1" applyFill="1" applyBorder="1"/>
    <xf numFmtId="0" fontId="2" fillId="0" borderId="0" xfId="0" applyFont="1" applyFill="1" applyBorder="1" applyAlignment="1">
      <alignment horizontal="right"/>
    </xf>
    <xf numFmtId="0" fontId="0" fillId="2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168" fontId="2" fillId="0" borderId="0" xfId="3" applyNumberFormat="1" applyFont="1" applyFill="1" applyBorder="1"/>
    <xf numFmtId="0" fontId="2" fillId="0" borderId="0" xfId="0" applyFont="1" applyFill="1" applyBorder="1"/>
    <xf numFmtId="0" fontId="0" fillId="0" borderId="0" xfId="0" applyFill="1"/>
    <xf numFmtId="0" fontId="15" fillId="0" borderId="0" xfId="0" applyFont="1" applyFill="1" applyBorder="1"/>
    <xf numFmtId="0" fontId="2" fillId="0" borderId="0" xfId="0" applyFont="1" applyFill="1" applyBorder="1" applyAlignment="1">
      <alignment horizontal="left" indent="2"/>
    </xf>
    <xf numFmtId="0" fontId="0" fillId="0" borderId="0" xfId="0" applyFill="1" applyAlignment="1"/>
    <xf numFmtId="0" fontId="20" fillId="0" borderId="0" xfId="0" applyFont="1"/>
    <xf numFmtId="0" fontId="15" fillId="0" borderId="0" xfId="0" applyFont="1" applyFill="1" applyBorder="1" applyAlignment="1">
      <alignment horizontal="center"/>
    </xf>
    <xf numFmtId="165" fontId="0" fillId="0" borderId="0" xfId="2" applyFont="1" applyFill="1" applyBorder="1" applyAlignment="1"/>
    <xf numFmtId="165" fontId="17" fillId="0" borderId="0" xfId="4" applyNumberFormat="1" applyFont="1" applyFill="1" applyBorder="1" applyAlignment="1">
      <alignment horizontal="center"/>
    </xf>
    <xf numFmtId="165" fontId="0" fillId="0" borderId="0" xfId="2" applyFont="1" applyFill="1" applyBorder="1" applyAlignment="1"/>
    <xf numFmtId="0" fontId="15" fillId="0" borderId="0" xfId="0" applyFont="1" applyFill="1" applyBorder="1" applyAlignment="1">
      <alignment horizontal="center"/>
    </xf>
  </cellXfs>
  <cellStyles count="5">
    <cellStyle name="Comma" xfId="3" builtinId="3"/>
    <cellStyle name="Currency" xfId="2" builtinId="4"/>
    <cellStyle name="Hyperlink" xfId="4" builtinId="8"/>
    <cellStyle name="Normal" xfId="0" builtinId="0"/>
    <cellStyle name="Per cent" xfId="1" builtinId="5"/>
  </cellStyles>
  <dxfs count="4">
    <dxf>
      <numFmt numFmtId="165" formatCode="_-&quot;$&quot;* #,##0.00_-;\-&quot;$&quot;* #,##0.00_-;_-&quot;$&quot;* &quot;-&quot;??_-;_-@_-"/>
    </dxf>
    <dxf>
      <numFmt numFmtId="165" formatCode="_-&quot;$&quot;* #,##0.00_-;\-&quot;$&quot;* #,##0.00_-;_-&quot;$&quot;* &quot;-&quot;??_-;_-@_-"/>
    </dxf>
    <dxf>
      <numFmt numFmtId="165" formatCode="_-&quot;$&quot;* #,##0.00_-;\-&quot;$&quot;* #,##0.00_-;_-&quot;$&quot;* &quot;-&quot;??_-;_-@_-"/>
    </dxf>
    <dxf>
      <numFmt numFmtId="165" formatCode="_-&quot;$&quot;* #,##0.00_-;\-&quot;$&quot;* #,##0.00_-;_-&quot;$&quot;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1.xml"/><Relationship Id="rId6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[Milk Price Transparency Tool.xlsx]Pivot Tables!PivotTable1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Tables'!$B$3</c:f>
              <c:strCache>
                <c:ptCount val="1"/>
                <c:pt idx="0">
                  <c:v>Average of Headline Price ($/L)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'Pivot Tables'!$A$4:$A$89</c:f>
              <c:multiLvlStrCache>
                <c:ptCount val="74"/>
                <c:lvl>
                  <c:pt idx="0">
                    <c:v>Lactalis (NSW)</c:v>
                  </c:pt>
                  <c:pt idx="1">
                    <c:v>Lactalis (Q,NNSW)</c:v>
                  </c:pt>
                  <c:pt idx="2">
                    <c:v>Norco</c:v>
                  </c:pt>
                  <c:pt idx="3">
                    <c:v>Saputo (NSW Metro)</c:v>
                  </c:pt>
                  <c:pt idx="4">
                    <c:v>ACM</c:v>
                  </c:pt>
                  <c:pt idx="5">
                    <c:v>Bega</c:v>
                  </c:pt>
                  <c:pt idx="6">
                    <c:v>Coles</c:v>
                  </c:pt>
                  <c:pt idx="7">
                    <c:v>DFMC</c:v>
                  </c:pt>
                  <c:pt idx="8">
                    <c:v>KY Valley</c:v>
                  </c:pt>
                  <c:pt idx="9">
                    <c:v>Lactalis (NSW)</c:v>
                  </c:pt>
                  <c:pt idx="10">
                    <c:v>Lactalis (V,T,R)</c:v>
                  </c:pt>
                  <c:pt idx="11">
                    <c:v>Noumi</c:v>
                  </c:pt>
                  <c:pt idx="12">
                    <c:v>Riverina Fresh</c:v>
                  </c:pt>
                  <c:pt idx="13">
                    <c:v>Saputo</c:v>
                  </c:pt>
                  <c:pt idx="14">
                    <c:v>Bega</c:v>
                  </c:pt>
                  <c:pt idx="15">
                    <c:v>Coles</c:v>
                  </c:pt>
                  <c:pt idx="16">
                    <c:v>Lactalis (NSW)</c:v>
                  </c:pt>
                  <c:pt idx="17">
                    <c:v>Saputo (NSW Metro)</c:v>
                  </c:pt>
                  <c:pt idx="18">
                    <c:v>Lactalis (Q,NNSW)</c:v>
                  </c:pt>
                  <c:pt idx="19">
                    <c:v>Norco</c:v>
                  </c:pt>
                  <c:pt idx="20">
                    <c:v>Bega</c:v>
                  </c:pt>
                  <c:pt idx="21">
                    <c:v>Coles</c:v>
                  </c:pt>
                  <c:pt idx="22">
                    <c:v>DFMC</c:v>
                  </c:pt>
                  <c:pt idx="23">
                    <c:v>Fleurieu (Fresian &amp; Jersey only)</c:v>
                  </c:pt>
                  <c:pt idx="24">
                    <c:v>LaCasa</c:v>
                  </c:pt>
                  <c:pt idx="25">
                    <c:v>Lactalis</c:v>
                  </c:pt>
                  <c:pt idx="26">
                    <c:v>Saputo</c:v>
                  </c:pt>
                  <c:pt idx="27">
                    <c:v>Bega</c:v>
                  </c:pt>
                  <c:pt idx="28">
                    <c:v>Coles</c:v>
                  </c:pt>
                  <c:pt idx="29">
                    <c:v>Lactalis</c:v>
                  </c:pt>
                  <c:pt idx="30">
                    <c:v>Saputo</c:v>
                  </c:pt>
                  <c:pt idx="31">
                    <c:v>UDC</c:v>
                  </c:pt>
                  <c:pt idx="32">
                    <c:v>Bega</c:v>
                  </c:pt>
                  <c:pt idx="33">
                    <c:v>Coles</c:v>
                  </c:pt>
                  <c:pt idx="34">
                    <c:v>Fonterra</c:v>
                  </c:pt>
                  <c:pt idx="35">
                    <c:v>Lactalis</c:v>
                  </c:pt>
                  <c:pt idx="36">
                    <c:v>Mondelez</c:v>
                  </c:pt>
                  <c:pt idx="37">
                    <c:v>Saputo</c:v>
                  </c:pt>
                  <c:pt idx="38">
                    <c:v>ACM</c:v>
                  </c:pt>
                  <c:pt idx="39">
                    <c:v>ADFC</c:v>
                  </c:pt>
                  <c:pt idx="40">
                    <c:v>Bega</c:v>
                  </c:pt>
                  <c:pt idx="41">
                    <c:v>Bulla</c:v>
                  </c:pt>
                  <c:pt idx="42">
                    <c:v>Burra</c:v>
                  </c:pt>
                  <c:pt idx="43">
                    <c:v>Coles</c:v>
                  </c:pt>
                  <c:pt idx="44">
                    <c:v>Frestine</c:v>
                  </c:pt>
                  <c:pt idx="45">
                    <c:v>Lactalis (Gipps &amp; WV)</c:v>
                  </c:pt>
                  <c:pt idx="46">
                    <c:v>Saputo</c:v>
                  </c:pt>
                  <c:pt idx="47">
                    <c:v>ACM</c:v>
                  </c:pt>
                  <c:pt idx="48">
                    <c:v>ADFC</c:v>
                  </c:pt>
                  <c:pt idx="49">
                    <c:v>Bega</c:v>
                  </c:pt>
                  <c:pt idx="50">
                    <c:v>Bulla</c:v>
                  </c:pt>
                  <c:pt idx="51">
                    <c:v>Coles</c:v>
                  </c:pt>
                  <c:pt idx="52">
                    <c:v>DFMC</c:v>
                  </c:pt>
                  <c:pt idx="53">
                    <c:v>Fonterra</c:v>
                  </c:pt>
                  <c:pt idx="54">
                    <c:v>Frestine</c:v>
                  </c:pt>
                  <c:pt idx="55">
                    <c:v>GVC</c:v>
                  </c:pt>
                  <c:pt idx="56">
                    <c:v>KY Valley</c:v>
                  </c:pt>
                  <c:pt idx="57">
                    <c:v>Lactalis (V,T,R)</c:v>
                  </c:pt>
                  <c:pt idx="58">
                    <c:v>Noumi</c:v>
                  </c:pt>
                  <c:pt idx="59">
                    <c:v>Riverina Fresh</c:v>
                  </c:pt>
                  <c:pt idx="60">
                    <c:v>Saputo</c:v>
                  </c:pt>
                  <c:pt idx="61">
                    <c:v>ADFC</c:v>
                  </c:pt>
                  <c:pt idx="62">
                    <c:v>Bega</c:v>
                  </c:pt>
                  <c:pt idx="63">
                    <c:v>Bulla</c:v>
                  </c:pt>
                  <c:pt idx="64">
                    <c:v>Coles</c:v>
                  </c:pt>
                  <c:pt idx="65">
                    <c:v>Fonterra</c:v>
                  </c:pt>
                  <c:pt idx="66">
                    <c:v>Frestine</c:v>
                  </c:pt>
                  <c:pt idx="67">
                    <c:v>KY Valley</c:v>
                  </c:pt>
                  <c:pt idx="68">
                    <c:v>Lactalis (Gipps &amp; WV)</c:v>
                  </c:pt>
                  <c:pt idx="69">
                    <c:v>Saputo</c:v>
                  </c:pt>
                  <c:pt idx="70">
                    <c:v>UDC</c:v>
                  </c:pt>
                  <c:pt idx="71">
                    <c:v>Brownes</c:v>
                  </c:pt>
                  <c:pt idx="72">
                    <c:v>Coles</c:v>
                  </c:pt>
                  <c:pt idx="73">
                    <c:v>Lactalis</c:v>
                  </c:pt>
                </c:lvl>
                <c:lvl>
                  <c:pt idx="0">
                    <c:v>NSW North Coast</c:v>
                  </c:pt>
                  <c:pt idx="4">
                    <c:v>NSW Riverina</c:v>
                  </c:pt>
                  <c:pt idx="14">
                    <c:v>NSW South Coast</c:v>
                  </c:pt>
                  <c:pt idx="18">
                    <c:v>Qld</c:v>
                  </c:pt>
                  <c:pt idx="20">
                    <c:v>SA Central</c:v>
                  </c:pt>
                  <c:pt idx="27">
                    <c:v>SA South East</c:v>
                  </c:pt>
                  <c:pt idx="32">
                    <c:v>Tas</c:v>
                  </c:pt>
                  <c:pt idx="38">
                    <c:v>Vic Gippsland</c:v>
                  </c:pt>
                  <c:pt idx="47">
                    <c:v>Vic North</c:v>
                  </c:pt>
                  <c:pt idx="61">
                    <c:v>Vic SW</c:v>
                  </c:pt>
                  <c:pt idx="71">
                    <c:v>WA</c:v>
                  </c:pt>
                </c:lvl>
              </c:multiLvlStrCache>
            </c:multiLvlStrRef>
          </c:cat>
          <c:val>
            <c:numRef>
              <c:f>'Pivot Tables'!$B$4:$B$89</c:f>
              <c:numCache>
                <c:formatCode>_-"$"* #,##0.00_-;\-"$"* #,##0.00_-;_-"$"* "-"??_-;_-@_-</c:formatCode>
                <c:ptCount val="74"/>
                <c:pt idx="0">
                  <c:v>0.74552023333333317</c:v>
                </c:pt>
                <c:pt idx="1">
                  <c:v>0.84025640000000001</c:v>
                </c:pt>
                <c:pt idx="2">
                  <c:v>0.77692000000000005</c:v>
                </c:pt>
                <c:pt idx="3">
                  <c:v>0.76847333333333334</c:v>
                </c:pt>
                <c:pt idx="4">
                  <c:v>0.56486000000000003</c:v>
                </c:pt>
                <c:pt idx="5">
                  <c:v>0.55400800000000006</c:v>
                </c:pt>
                <c:pt idx="6">
                  <c:v>0.715445</c:v>
                </c:pt>
                <c:pt idx="7">
                  <c:v>0.54764266666666672</c:v>
                </c:pt>
                <c:pt idx="8">
                  <c:v>0.72266666666666668</c:v>
                </c:pt>
                <c:pt idx="9">
                  <c:v>0.74552023333333317</c:v>
                </c:pt>
                <c:pt idx="10">
                  <c:v>0.64659999999999995</c:v>
                </c:pt>
                <c:pt idx="11">
                  <c:v>0.58311999999999997</c:v>
                </c:pt>
                <c:pt idx="12">
                  <c:v>0.54673023333333326</c:v>
                </c:pt>
                <c:pt idx="13">
                  <c:v>0.59392666666666671</c:v>
                </c:pt>
                <c:pt idx="14">
                  <c:v>0.66416000000000008</c:v>
                </c:pt>
                <c:pt idx="15">
                  <c:v>0.84901833333333332</c:v>
                </c:pt>
                <c:pt idx="16">
                  <c:v>0.74552023333333317</c:v>
                </c:pt>
                <c:pt idx="17">
                  <c:v>0.76847333333333334</c:v>
                </c:pt>
                <c:pt idx="18">
                  <c:v>0.84025640000000001</c:v>
                </c:pt>
                <c:pt idx="19">
                  <c:v>0.79983666666666664</c:v>
                </c:pt>
                <c:pt idx="20">
                  <c:v>0.6466966666666667</c:v>
                </c:pt>
                <c:pt idx="21">
                  <c:v>0.72851166666666667</c:v>
                </c:pt>
                <c:pt idx="22">
                  <c:v>0.64198</c:v>
                </c:pt>
                <c:pt idx="23">
                  <c:v>0.76</c:v>
                </c:pt>
                <c:pt idx="24">
                  <c:v>0.65389333333333333</c:v>
                </c:pt>
                <c:pt idx="25">
                  <c:v>0.68474000000000002</c:v>
                </c:pt>
                <c:pt idx="26">
                  <c:v>0.59392666666666671</c:v>
                </c:pt>
                <c:pt idx="27">
                  <c:v>0.55400800000000006</c:v>
                </c:pt>
                <c:pt idx="28">
                  <c:v>0.715445</c:v>
                </c:pt>
                <c:pt idx="29">
                  <c:v>0.68474000000000002</c:v>
                </c:pt>
                <c:pt idx="30">
                  <c:v>0.59392666666666671</c:v>
                </c:pt>
                <c:pt idx="31">
                  <c:v>0.56810400000000016</c:v>
                </c:pt>
                <c:pt idx="32">
                  <c:v>0.67206999999999995</c:v>
                </c:pt>
                <c:pt idx="33">
                  <c:v>0.715445</c:v>
                </c:pt>
                <c:pt idx="34">
                  <c:v>0.54810000000000003</c:v>
                </c:pt>
                <c:pt idx="35">
                  <c:v>0.64659999999999995</c:v>
                </c:pt>
                <c:pt idx="36">
                  <c:v>0.33291600000000005</c:v>
                </c:pt>
                <c:pt idx="37">
                  <c:v>0.58320666666666665</c:v>
                </c:pt>
                <c:pt idx="38">
                  <c:v>0.56486000000000003</c:v>
                </c:pt>
                <c:pt idx="39">
                  <c:v>0.59048</c:v>
                </c:pt>
                <c:pt idx="40">
                  <c:v>0.55400800000000006</c:v>
                </c:pt>
                <c:pt idx="41">
                  <c:v>0.62280000000000013</c:v>
                </c:pt>
                <c:pt idx="42">
                  <c:v>0.58621333333333336</c:v>
                </c:pt>
                <c:pt idx="43">
                  <c:v>0.715445</c:v>
                </c:pt>
                <c:pt idx="44">
                  <c:v>0.57616000000000001</c:v>
                </c:pt>
                <c:pt idx="45">
                  <c:v>0.64026666666666665</c:v>
                </c:pt>
                <c:pt idx="46">
                  <c:v>0.58352666666666664</c:v>
                </c:pt>
                <c:pt idx="47">
                  <c:v>0.56486000000000003</c:v>
                </c:pt>
                <c:pt idx="48">
                  <c:v>0.59048</c:v>
                </c:pt>
                <c:pt idx="49">
                  <c:v>0.55400800000000006</c:v>
                </c:pt>
                <c:pt idx="50">
                  <c:v>0.62280000000000013</c:v>
                </c:pt>
                <c:pt idx="51">
                  <c:v>0.715445</c:v>
                </c:pt>
                <c:pt idx="52">
                  <c:v>0.54764266666666672</c:v>
                </c:pt>
                <c:pt idx="53">
                  <c:v>0.58848</c:v>
                </c:pt>
                <c:pt idx="54">
                  <c:v>0.57616000000000001</c:v>
                </c:pt>
                <c:pt idx="55">
                  <c:v>0.62644</c:v>
                </c:pt>
                <c:pt idx="56">
                  <c:v>0.72266666666666668</c:v>
                </c:pt>
                <c:pt idx="57">
                  <c:v>0.64659999999999995</c:v>
                </c:pt>
                <c:pt idx="58">
                  <c:v>0.58311999999999997</c:v>
                </c:pt>
                <c:pt idx="59">
                  <c:v>0.54673023333333326</c:v>
                </c:pt>
                <c:pt idx="60">
                  <c:v>0.59392666666666671</c:v>
                </c:pt>
                <c:pt idx="61">
                  <c:v>0.59048</c:v>
                </c:pt>
                <c:pt idx="62">
                  <c:v>0.55400800000000006</c:v>
                </c:pt>
                <c:pt idx="63">
                  <c:v>0.62280000000000013</c:v>
                </c:pt>
                <c:pt idx="64">
                  <c:v>0.715445</c:v>
                </c:pt>
                <c:pt idx="65">
                  <c:v>0.66512000000000004</c:v>
                </c:pt>
                <c:pt idx="66">
                  <c:v>0.57616000000000001</c:v>
                </c:pt>
                <c:pt idx="67">
                  <c:v>0.56088000000000005</c:v>
                </c:pt>
                <c:pt idx="68">
                  <c:v>0.64026666666666665</c:v>
                </c:pt>
                <c:pt idx="69">
                  <c:v>0.59392666666666671</c:v>
                </c:pt>
                <c:pt idx="70">
                  <c:v>0.56810400000000016</c:v>
                </c:pt>
                <c:pt idx="71">
                  <c:v>0.66916666666666669</c:v>
                </c:pt>
                <c:pt idx="72">
                  <c:v>0.71048500000000003</c:v>
                </c:pt>
                <c:pt idx="73">
                  <c:v>0.61816666666666664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D-405B-B872-E50EB60B9703}"/>
            </c:ext>
          </c:extLst>
        </c:ser>
        <c:ser>
          <c:idx val="1"/>
          <c:order val="1"/>
          <c:tx>
            <c:strRef>
              <c:f>'Pivot Tables'!$C$3</c:f>
              <c:strCache>
                <c:ptCount val="1"/>
                <c:pt idx="0">
                  <c:v>Average of Headline Price ($/kgMS)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'Pivot Tables'!$A$4:$A$89</c:f>
              <c:multiLvlStrCache>
                <c:ptCount val="74"/>
                <c:lvl>
                  <c:pt idx="0">
                    <c:v>Lactalis (NSW)</c:v>
                  </c:pt>
                  <c:pt idx="1">
                    <c:v>Lactalis (Q,NNSW)</c:v>
                  </c:pt>
                  <c:pt idx="2">
                    <c:v>Norco</c:v>
                  </c:pt>
                  <c:pt idx="3">
                    <c:v>Saputo (NSW Metro)</c:v>
                  </c:pt>
                  <c:pt idx="4">
                    <c:v>ACM</c:v>
                  </c:pt>
                  <c:pt idx="5">
                    <c:v>Bega</c:v>
                  </c:pt>
                  <c:pt idx="6">
                    <c:v>Coles</c:v>
                  </c:pt>
                  <c:pt idx="7">
                    <c:v>DFMC</c:v>
                  </c:pt>
                  <c:pt idx="8">
                    <c:v>KY Valley</c:v>
                  </c:pt>
                  <c:pt idx="9">
                    <c:v>Lactalis (NSW)</c:v>
                  </c:pt>
                  <c:pt idx="10">
                    <c:v>Lactalis (V,T,R)</c:v>
                  </c:pt>
                  <c:pt idx="11">
                    <c:v>Noumi</c:v>
                  </c:pt>
                  <c:pt idx="12">
                    <c:v>Riverina Fresh</c:v>
                  </c:pt>
                  <c:pt idx="13">
                    <c:v>Saputo</c:v>
                  </c:pt>
                  <c:pt idx="14">
                    <c:v>Bega</c:v>
                  </c:pt>
                  <c:pt idx="15">
                    <c:v>Coles</c:v>
                  </c:pt>
                  <c:pt idx="16">
                    <c:v>Lactalis (NSW)</c:v>
                  </c:pt>
                  <c:pt idx="17">
                    <c:v>Saputo (NSW Metro)</c:v>
                  </c:pt>
                  <c:pt idx="18">
                    <c:v>Lactalis (Q,NNSW)</c:v>
                  </c:pt>
                  <c:pt idx="19">
                    <c:v>Norco</c:v>
                  </c:pt>
                  <c:pt idx="20">
                    <c:v>Bega</c:v>
                  </c:pt>
                  <c:pt idx="21">
                    <c:v>Coles</c:v>
                  </c:pt>
                  <c:pt idx="22">
                    <c:v>DFMC</c:v>
                  </c:pt>
                  <c:pt idx="23">
                    <c:v>Fleurieu (Fresian &amp; Jersey only)</c:v>
                  </c:pt>
                  <c:pt idx="24">
                    <c:v>LaCasa</c:v>
                  </c:pt>
                  <c:pt idx="25">
                    <c:v>Lactalis</c:v>
                  </c:pt>
                  <c:pt idx="26">
                    <c:v>Saputo</c:v>
                  </c:pt>
                  <c:pt idx="27">
                    <c:v>Bega</c:v>
                  </c:pt>
                  <c:pt idx="28">
                    <c:v>Coles</c:v>
                  </c:pt>
                  <c:pt idx="29">
                    <c:v>Lactalis</c:v>
                  </c:pt>
                  <c:pt idx="30">
                    <c:v>Saputo</c:v>
                  </c:pt>
                  <c:pt idx="31">
                    <c:v>UDC</c:v>
                  </c:pt>
                  <c:pt idx="32">
                    <c:v>Bega</c:v>
                  </c:pt>
                  <c:pt idx="33">
                    <c:v>Coles</c:v>
                  </c:pt>
                  <c:pt idx="34">
                    <c:v>Fonterra</c:v>
                  </c:pt>
                  <c:pt idx="35">
                    <c:v>Lactalis</c:v>
                  </c:pt>
                  <c:pt idx="36">
                    <c:v>Mondelez</c:v>
                  </c:pt>
                  <c:pt idx="37">
                    <c:v>Saputo</c:v>
                  </c:pt>
                  <c:pt idx="38">
                    <c:v>ACM</c:v>
                  </c:pt>
                  <c:pt idx="39">
                    <c:v>ADFC</c:v>
                  </c:pt>
                  <c:pt idx="40">
                    <c:v>Bega</c:v>
                  </c:pt>
                  <c:pt idx="41">
                    <c:v>Bulla</c:v>
                  </c:pt>
                  <c:pt idx="42">
                    <c:v>Burra</c:v>
                  </c:pt>
                  <c:pt idx="43">
                    <c:v>Coles</c:v>
                  </c:pt>
                  <c:pt idx="44">
                    <c:v>Frestine</c:v>
                  </c:pt>
                  <c:pt idx="45">
                    <c:v>Lactalis (Gipps &amp; WV)</c:v>
                  </c:pt>
                  <c:pt idx="46">
                    <c:v>Saputo</c:v>
                  </c:pt>
                  <c:pt idx="47">
                    <c:v>ACM</c:v>
                  </c:pt>
                  <c:pt idx="48">
                    <c:v>ADFC</c:v>
                  </c:pt>
                  <c:pt idx="49">
                    <c:v>Bega</c:v>
                  </c:pt>
                  <c:pt idx="50">
                    <c:v>Bulla</c:v>
                  </c:pt>
                  <c:pt idx="51">
                    <c:v>Coles</c:v>
                  </c:pt>
                  <c:pt idx="52">
                    <c:v>DFMC</c:v>
                  </c:pt>
                  <c:pt idx="53">
                    <c:v>Fonterra</c:v>
                  </c:pt>
                  <c:pt idx="54">
                    <c:v>Frestine</c:v>
                  </c:pt>
                  <c:pt idx="55">
                    <c:v>GVC</c:v>
                  </c:pt>
                  <c:pt idx="56">
                    <c:v>KY Valley</c:v>
                  </c:pt>
                  <c:pt idx="57">
                    <c:v>Lactalis (V,T,R)</c:v>
                  </c:pt>
                  <c:pt idx="58">
                    <c:v>Noumi</c:v>
                  </c:pt>
                  <c:pt idx="59">
                    <c:v>Riverina Fresh</c:v>
                  </c:pt>
                  <c:pt idx="60">
                    <c:v>Saputo</c:v>
                  </c:pt>
                  <c:pt idx="61">
                    <c:v>ADFC</c:v>
                  </c:pt>
                  <c:pt idx="62">
                    <c:v>Bega</c:v>
                  </c:pt>
                  <c:pt idx="63">
                    <c:v>Bulla</c:v>
                  </c:pt>
                  <c:pt idx="64">
                    <c:v>Coles</c:v>
                  </c:pt>
                  <c:pt idx="65">
                    <c:v>Fonterra</c:v>
                  </c:pt>
                  <c:pt idx="66">
                    <c:v>Frestine</c:v>
                  </c:pt>
                  <c:pt idx="67">
                    <c:v>KY Valley</c:v>
                  </c:pt>
                  <c:pt idx="68">
                    <c:v>Lactalis (Gipps &amp; WV)</c:v>
                  </c:pt>
                  <c:pt idx="69">
                    <c:v>Saputo</c:v>
                  </c:pt>
                  <c:pt idx="70">
                    <c:v>UDC</c:v>
                  </c:pt>
                  <c:pt idx="71">
                    <c:v>Brownes</c:v>
                  </c:pt>
                  <c:pt idx="72">
                    <c:v>Coles</c:v>
                  </c:pt>
                  <c:pt idx="73">
                    <c:v>Lactalis</c:v>
                  </c:pt>
                </c:lvl>
                <c:lvl>
                  <c:pt idx="0">
                    <c:v>NSW North Coast</c:v>
                  </c:pt>
                  <c:pt idx="4">
                    <c:v>NSW Riverina</c:v>
                  </c:pt>
                  <c:pt idx="14">
                    <c:v>NSW South Coast</c:v>
                  </c:pt>
                  <c:pt idx="18">
                    <c:v>Qld</c:v>
                  </c:pt>
                  <c:pt idx="20">
                    <c:v>SA Central</c:v>
                  </c:pt>
                  <c:pt idx="27">
                    <c:v>SA South East</c:v>
                  </c:pt>
                  <c:pt idx="32">
                    <c:v>Tas</c:v>
                  </c:pt>
                  <c:pt idx="38">
                    <c:v>Vic Gippsland</c:v>
                  </c:pt>
                  <c:pt idx="47">
                    <c:v>Vic North</c:v>
                  </c:pt>
                  <c:pt idx="61">
                    <c:v>Vic SW</c:v>
                  </c:pt>
                  <c:pt idx="71">
                    <c:v>WA</c:v>
                  </c:pt>
                </c:lvl>
              </c:multiLvlStrCache>
            </c:multiLvlStrRef>
          </c:cat>
          <c:val>
            <c:numRef>
              <c:f>'Pivot Tables'!$C$4:$C$89</c:f>
              <c:numCache>
                <c:formatCode>_-"$"* #,##0.00_-;\-"$"* #,##0.00_-;_-"$"* "-"??_-;_-@_-</c:formatCode>
                <c:ptCount val="74"/>
                <c:pt idx="0">
                  <c:v>10.354447685185182</c:v>
                </c:pt>
                <c:pt idx="1">
                  <c:v>11.670227777777777</c:v>
                </c:pt>
                <c:pt idx="2">
                  <c:v>10.790555555555553</c:v>
                </c:pt>
                <c:pt idx="3">
                  <c:v>10.67324074074074</c:v>
                </c:pt>
                <c:pt idx="4">
                  <c:v>7.8452777777777767</c:v>
                </c:pt>
                <c:pt idx="5">
                  <c:v>7.6945555555555556</c:v>
                </c:pt>
                <c:pt idx="6">
                  <c:v>9.9367361111111094</c:v>
                </c:pt>
                <c:pt idx="7">
                  <c:v>7.6061481481481481</c:v>
                </c:pt>
                <c:pt idx="8">
                  <c:v>10.037037037037035</c:v>
                </c:pt>
                <c:pt idx="9">
                  <c:v>10.354447685185182</c:v>
                </c:pt>
                <c:pt idx="10">
                  <c:v>8.9805555555555543</c:v>
                </c:pt>
                <c:pt idx="11">
                  <c:v>8.0988888888888884</c:v>
                </c:pt>
                <c:pt idx="12">
                  <c:v>7.5934754629629611</c:v>
                </c:pt>
                <c:pt idx="13">
                  <c:v>8.2489814814814792</c:v>
                </c:pt>
                <c:pt idx="14">
                  <c:v>9.224444444444444</c:v>
                </c:pt>
                <c:pt idx="15">
                  <c:v>11.791921296296294</c:v>
                </c:pt>
                <c:pt idx="16">
                  <c:v>10.354447685185182</c:v>
                </c:pt>
                <c:pt idx="17">
                  <c:v>10.67324074074074</c:v>
                </c:pt>
                <c:pt idx="18">
                  <c:v>11.670227777777777</c:v>
                </c:pt>
                <c:pt idx="19">
                  <c:v>11.108842592592591</c:v>
                </c:pt>
                <c:pt idx="20">
                  <c:v>8.9818981481481472</c:v>
                </c:pt>
                <c:pt idx="21">
                  <c:v>10.118217592592591</c:v>
                </c:pt>
                <c:pt idx="22">
                  <c:v>8.9163888888888874</c:v>
                </c:pt>
                <c:pt idx="23">
                  <c:v>10.555555555555554</c:v>
                </c:pt>
                <c:pt idx="24">
                  <c:v>9.0818518518518498</c:v>
                </c:pt>
                <c:pt idx="25">
                  <c:v>9.5102777777777767</c:v>
                </c:pt>
                <c:pt idx="26">
                  <c:v>8.2489814814814792</c:v>
                </c:pt>
                <c:pt idx="27">
                  <c:v>7.6945555555555556</c:v>
                </c:pt>
                <c:pt idx="28">
                  <c:v>9.9367361111111094</c:v>
                </c:pt>
                <c:pt idx="29">
                  <c:v>9.5102777777777767</c:v>
                </c:pt>
                <c:pt idx="30">
                  <c:v>8.2489814814814792</c:v>
                </c:pt>
                <c:pt idx="31">
                  <c:v>7.8903333333333343</c:v>
                </c:pt>
                <c:pt idx="32">
                  <c:v>9.3343055555555541</c:v>
                </c:pt>
                <c:pt idx="33">
                  <c:v>9.9367361111111094</c:v>
                </c:pt>
                <c:pt idx="34">
                  <c:v>7.6124999999999989</c:v>
                </c:pt>
                <c:pt idx="35">
                  <c:v>8.9805555555555543</c:v>
                </c:pt>
                <c:pt idx="36">
                  <c:v>4.6238333333333337</c:v>
                </c:pt>
                <c:pt idx="37">
                  <c:v>8.100092592592592</c:v>
                </c:pt>
                <c:pt idx="38">
                  <c:v>7.8452777777777767</c:v>
                </c:pt>
                <c:pt idx="39">
                  <c:v>8.2011111111111106</c:v>
                </c:pt>
                <c:pt idx="40">
                  <c:v>7.6945555555555556</c:v>
                </c:pt>
                <c:pt idx="41">
                  <c:v>8.65</c:v>
                </c:pt>
                <c:pt idx="42">
                  <c:v>8.1418518518518503</c:v>
                </c:pt>
                <c:pt idx="43">
                  <c:v>9.9367361111111094</c:v>
                </c:pt>
                <c:pt idx="44">
                  <c:v>8.0022222222222208</c:v>
                </c:pt>
                <c:pt idx="45">
                  <c:v>8.8925925925925906</c:v>
                </c:pt>
                <c:pt idx="46">
                  <c:v>8.1045370370370353</c:v>
                </c:pt>
                <c:pt idx="47">
                  <c:v>7.8452777777777767</c:v>
                </c:pt>
                <c:pt idx="48">
                  <c:v>8.2011111111111106</c:v>
                </c:pt>
                <c:pt idx="49">
                  <c:v>7.6945555555555556</c:v>
                </c:pt>
                <c:pt idx="50">
                  <c:v>8.65</c:v>
                </c:pt>
                <c:pt idx="51">
                  <c:v>9.9367361111111094</c:v>
                </c:pt>
                <c:pt idx="52">
                  <c:v>7.6061481481481481</c:v>
                </c:pt>
                <c:pt idx="53">
                  <c:v>8.173333333333332</c:v>
                </c:pt>
                <c:pt idx="54">
                  <c:v>8.0022222222222208</c:v>
                </c:pt>
                <c:pt idx="55">
                  <c:v>8.7005555555555549</c:v>
                </c:pt>
                <c:pt idx="56">
                  <c:v>10.037037037037035</c:v>
                </c:pt>
                <c:pt idx="57">
                  <c:v>8.9805555555555543</c:v>
                </c:pt>
                <c:pt idx="58">
                  <c:v>8.0988888888888884</c:v>
                </c:pt>
                <c:pt idx="59">
                  <c:v>7.5934754629629611</c:v>
                </c:pt>
                <c:pt idx="60">
                  <c:v>8.2489814814814792</c:v>
                </c:pt>
                <c:pt idx="61">
                  <c:v>8.2011111111111106</c:v>
                </c:pt>
                <c:pt idx="62">
                  <c:v>7.6945555555555556</c:v>
                </c:pt>
                <c:pt idx="63">
                  <c:v>8.65</c:v>
                </c:pt>
                <c:pt idx="64">
                  <c:v>9.9367361111111094</c:v>
                </c:pt>
                <c:pt idx="65">
                  <c:v>9.2377777777777759</c:v>
                </c:pt>
                <c:pt idx="66">
                  <c:v>8.0022222222222208</c:v>
                </c:pt>
                <c:pt idx="67">
                  <c:v>7.7899999999999983</c:v>
                </c:pt>
                <c:pt idx="68">
                  <c:v>8.8925925925925906</c:v>
                </c:pt>
                <c:pt idx="69">
                  <c:v>8.2489814814814792</c:v>
                </c:pt>
                <c:pt idx="70">
                  <c:v>7.8903333333333343</c:v>
                </c:pt>
                <c:pt idx="71">
                  <c:v>9.2939814814814792</c:v>
                </c:pt>
                <c:pt idx="72">
                  <c:v>9.8678472222222204</c:v>
                </c:pt>
                <c:pt idx="73">
                  <c:v>8.585648148148147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D-405B-B872-E50EB60B9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1487679"/>
        <c:axId val="1571488639"/>
      </c:barChart>
      <c:catAx>
        <c:axId val="1571487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488639"/>
        <c:crosses val="autoZero"/>
        <c:auto val="1"/>
        <c:lblAlgn val="ctr"/>
        <c:lblOffset val="100"/>
        <c:noMultiLvlLbl val="0"/>
      </c:catAx>
      <c:valAx>
        <c:axId val="1571488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148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2</xdr:row>
      <xdr:rowOff>4761</xdr:rowOff>
    </xdr:from>
    <xdr:to>
      <xdr:col>32</xdr:col>
      <xdr:colOff>323850</xdr:colOff>
      <xdr:row>27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5EBB9F-24E8-7DB0-21BF-763712AE7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</xdr:colOff>
      <xdr:row>3</xdr:row>
      <xdr:rowOff>1</xdr:rowOff>
    </xdr:from>
    <xdr:to>
      <xdr:col>22</xdr:col>
      <xdr:colOff>38101</xdr:colOff>
      <xdr:row>17</xdr:row>
      <xdr:rowOff>123826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44204F-F028-CB2C-DF3A-0DACD8028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77601" y="581026"/>
          <a:ext cx="4419600" cy="3219450"/>
        </a:xfrm>
        <a:prstGeom prst="rect">
          <a:avLst/>
        </a:prstGeom>
      </xdr:spPr>
    </xdr:pic>
    <xdr:clientData/>
  </xdr:twoCellAnchor>
  <xdr:twoCellAnchor editAs="oneCell">
    <xdr:from>
      <xdr:col>16</xdr:col>
      <xdr:colOff>428625</xdr:colOff>
      <xdr:row>0</xdr:row>
      <xdr:rowOff>104775</xdr:rowOff>
    </xdr:from>
    <xdr:to>
      <xdr:col>21</xdr:col>
      <xdr:colOff>818399</xdr:colOff>
      <xdr:row>6</xdr:row>
      <xdr:rowOff>4771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6A29A-862D-7371-57A1-993CC31D8EC7}"/>
            </a:ext>
            <a:ext uri="{147F2762-F138-4A5C-976F-8EAC2B608ADB}">
              <a16:predDERef xmlns:a16="http://schemas.microsoft.com/office/drawing/2014/main" pred="{6944204F-F028-CB2C-DF3A-0DACD8028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06225" y="104775"/>
          <a:ext cx="3513974" cy="10525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552450</xdr:colOff>
      <xdr:row>3</xdr:row>
      <xdr:rowOff>47625</xdr:rowOff>
    </xdr:from>
    <xdr:to>
      <xdr:col>29</xdr:col>
      <xdr:colOff>277037</xdr:colOff>
      <xdr:row>22</xdr:row>
      <xdr:rowOff>29113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E3AD97-AE4F-FC5D-AFA2-CB7416F68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78100" y="619125"/>
          <a:ext cx="5820587" cy="38581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266700</xdr:colOff>
      <xdr:row>11</xdr:row>
      <xdr:rowOff>28575</xdr:rowOff>
    </xdr:from>
    <xdr:to>
      <xdr:col>31</xdr:col>
      <xdr:colOff>534203</xdr:colOff>
      <xdr:row>22</xdr:row>
      <xdr:rowOff>1124395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3C6907-D120-4404-890E-B4E86450B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1650" y="2305050"/>
          <a:ext cx="5753903" cy="3191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561975</xdr:colOff>
      <xdr:row>8</xdr:row>
      <xdr:rowOff>114300</xdr:rowOff>
    </xdr:from>
    <xdr:to>
      <xdr:col>28</xdr:col>
      <xdr:colOff>29266</xdr:colOff>
      <xdr:row>26</xdr:row>
      <xdr:rowOff>76734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F2ADE-FD6D-1548-1BBC-53B8D0D74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44425" y="1838325"/>
          <a:ext cx="4953691" cy="382958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ojects SADA" refreshedDate="45750.420449189813" createdVersion="8" refreshedVersion="8" minRefreshableVersion="3" recordCount="74" xr:uid="{019C8F80-DDAC-4125-8BD3-B147D1F66D8E}">
  <cacheSource type="worksheet">
    <worksheetSource name="TABLE"/>
  </cacheSource>
  <cacheFields count="4">
    <cacheField name="Processor" numFmtId="0">
      <sharedItems count="26">
        <s v="LaCasa"/>
        <s v="Coles"/>
        <s v="Saputo"/>
        <s v="Lactalis"/>
        <s v="Bega"/>
        <s v="Fleurieu (Fresian &amp; Jersey only)"/>
        <s v="DFMC"/>
        <s v="UDC"/>
        <s v="Brownes"/>
        <s v="Fonterra"/>
        <s v="Mondelez"/>
        <s v="ADFC"/>
        <s v="Bulla"/>
        <s v="Frestine"/>
        <s v="KY Valley"/>
        <s v="Lactalis (Gipps &amp; WV)"/>
        <s v="Lactalis (Q,NNSW)"/>
        <s v="Norco"/>
        <s v="ACM"/>
        <s v="Riverina Fresh"/>
        <s v="Noumi"/>
        <s v="GVC"/>
        <s v="Lactalis (V,T,R)"/>
        <s v="Lactalis (NSW)"/>
        <s v="Saputo (NSW Metro)"/>
        <s v="Burra"/>
      </sharedItems>
    </cacheField>
    <cacheField name="Region" numFmtId="0">
      <sharedItems count="11">
        <s v="SA Central"/>
        <s v="SA South East"/>
        <s v="WA"/>
        <s v="Tas"/>
        <s v="Vic SW"/>
        <s v="Qld"/>
        <s v="Vic North"/>
        <s v="NSW North Coast"/>
        <s v="NSW Riverina"/>
        <s v="Vic Gippsland"/>
        <s v="NSW South Coast"/>
      </sharedItems>
    </cacheField>
    <cacheField name="Headline Price ($/L)" numFmtId="165">
      <sharedItems containsSemiMixedTypes="0" containsString="0" containsNumber="1" minValue="0.33291600000000005" maxValue="0.84901833333333332" count="40">
        <n v="0.65389333333333333"/>
        <n v="0.72851166666666667"/>
        <n v="0.59392666666666671"/>
        <n v="0.68474000000000002"/>
        <n v="0.6466966666666667"/>
        <n v="0.76"/>
        <n v="0.64198"/>
        <n v="0.55400800000000006"/>
        <n v="0.715445"/>
        <n v="0.56810400000000016"/>
        <n v="0.66916666666666669"/>
        <n v="0.61816666666666664"/>
        <n v="0.71048500000000003"/>
        <n v="0.67206999999999995"/>
        <n v="0.54810000000000003"/>
        <n v="0.64659999999999995"/>
        <n v="0.33291600000000005"/>
        <n v="0.58320666666666665"/>
        <n v="0.59048"/>
        <n v="0.62280000000000013"/>
        <n v="0.66512000000000004"/>
        <n v="0.57616000000000001"/>
        <n v="0.56088000000000005"/>
        <n v="0.64026666666666665"/>
        <n v="0.84025640000000001"/>
        <n v="0.79983666666666664"/>
        <n v="0.56486000000000003"/>
        <n v="0.54764266666666672"/>
        <n v="0.54673023333333326"/>
        <n v="0.58311999999999997"/>
        <n v="0.58848"/>
        <n v="0.62644"/>
        <n v="0.72266666666666668"/>
        <n v="0.74552023333333317"/>
        <n v="0.77692000000000005"/>
        <n v="0.76847333333333334"/>
        <n v="0.58621333333333336"/>
        <n v="0.58352666666666664"/>
        <n v="0.66416000000000008"/>
        <n v="0.84901833333333332"/>
      </sharedItems>
    </cacheField>
    <cacheField name="Headline Price ($/kgMS)" numFmtId="165">
      <sharedItems containsSemiMixedTypes="0" containsString="0" containsNumber="1" minValue="4.6238333333333337" maxValue="11.7919212962962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x v="0"/>
    <x v="0"/>
    <n v="0.65389333333333333"/>
    <n v="9.0818518518518498"/>
  </r>
  <r>
    <x v="1"/>
    <x v="0"/>
    <n v="0.72851166666666667"/>
    <n v="10.118217592592591"/>
  </r>
  <r>
    <x v="2"/>
    <x v="0"/>
    <n v="0.59392666666666671"/>
    <n v="8.2489814814814792"/>
  </r>
  <r>
    <x v="3"/>
    <x v="0"/>
    <n v="0.68474000000000002"/>
    <n v="9.5102777777777767"/>
  </r>
  <r>
    <x v="4"/>
    <x v="0"/>
    <n v="0.6466966666666667"/>
    <n v="8.9818981481481472"/>
  </r>
  <r>
    <x v="5"/>
    <x v="0"/>
    <n v="0.76"/>
    <n v="10.555555555555554"/>
  </r>
  <r>
    <x v="6"/>
    <x v="0"/>
    <n v="0.64198"/>
    <n v="8.9163888888888874"/>
  </r>
  <r>
    <x v="4"/>
    <x v="1"/>
    <n v="0.55400800000000006"/>
    <n v="7.6945555555555556"/>
  </r>
  <r>
    <x v="1"/>
    <x v="1"/>
    <n v="0.715445"/>
    <n v="9.9367361111111094"/>
  </r>
  <r>
    <x v="3"/>
    <x v="1"/>
    <n v="0.68474000000000002"/>
    <n v="9.5102777777777767"/>
  </r>
  <r>
    <x v="2"/>
    <x v="1"/>
    <n v="0.59392666666666671"/>
    <n v="8.2489814814814792"/>
  </r>
  <r>
    <x v="7"/>
    <x v="1"/>
    <n v="0.56810400000000016"/>
    <n v="7.8903333333333343"/>
  </r>
  <r>
    <x v="8"/>
    <x v="2"/>
    <n v="0.66916666666666669"/>
    <n v="9.2939814814814792"/>
  </r>
  <r>
    <x v="3"/>
    <x v="2"/>
    <n v="0.61816666666666664"/>
    <n v="8.585648148148147"/>
  </r>
  <r>
    <x v="1"/>
    <x v="2"/>
    <n v="0.71048500000000003"/>
    <n v="9.8678472222222204"/>
  </r>
  <r>
    <x v="4"/>
    <x v="3"/>
    <n v="0.67206999999999995"/>
    <n v="9.3343055555555541"/>
  </r>
  <r>
    <x v="1"/>
    <x v="3"/>
    <n v="0.715445"/>
    <n v="9.9367361111111094"/>
  </r>
  <r>
    <x v="9"/>
    <x v="3"/>
    <n v="0.54810000000000003"/>
    <n v="7.6124999999999989"/>
  </r>
  <r>
    <x v="3"/>
    <x v="3"/>
    <n v="0.64659999999999995"/>
    <n v="8.9805555555555543"/>
  </r>
  <r>
    <x v="10"/>
    <x v="3"/>
    <n v="0.33291600000000005"/>
    <n v="4.6238333333333337"/>
  </r>
  <r>
    <x v="2"/>
    <x v="3"/>
    <n v="0.58320666666666665"/>
    <n v="8.100092592592592"/>
  </r>
  <r>
    <x v="11"/>
    <x v="4"/>
    <n v="0.59048"/>
    <n v="8.2011111111111106"/>
  </r>
  <r>
    <x v="4"/>
    <x v="4"/>
    <n v="0.55400800000000006"/>
    <n v="7.6945555555555556"/>
  </r>
  <r>
    <x v="12"/>
    <x v="4"/>
    <n v="0.62280000000000013"/>
    <n v="8.65"/>
  </r>
  <r>
    <x v="1"/>
    <x v="4"/>
    <n v="0.715445"/>
    <n v="9.9367361111111094"/>
  </r>
  <r>
    <x v="9"/>
    <x v="4"/>
    <n v="0.66512000000000004"/>
    <n v="9.2377777777777759"/>
  </r>
  <r>
    <x v="13"/>
    <x v="4"/>
    <n v="0.57616000000000001"/>
    <n v="8.0022222222222208"/>
  </r>
  <r>
    <x v="14"/>
    <x v="4"/>
    <n v="0.56088000000000005"/>
    <n v="7.7899999999999983"/>
  </r>
  <r>
    <x v="15"/>
    <x v="4"/>
    <n v="0.64026666666666665"/>
    <n v="8.8925925925925906"/>
  </r>
  <r>
    <x v="2"/>
    <x v="4"/>
    <n v="0.59392666666666671"/>
    <n v="8.2489814814814792"/>
  </r>
  <r>
    <x v="7"/>
    <x v="4"/>
    <n v="0.56810400000000016"/>
    <n v="7.8903333333333343"/>
  </r>
  <r>
    <x v="16"/>
    <x v="5"/>
    <n v="0.84025640000000001"/>
    <n v="11.670227777777777"/>
  </r>
  <r>
    <x v="17"/>
    <x v="5"/>
    <n v="0.79983666666666664"/>
    <n v="11.108842592592591"/>
  </r>
  <r>
    <x v="18"/>
    <x v="6"/>
    <n v="0.56486000000000003"/>
    <n v="7.8452777777777767"/>
  </r>
  <r>
    <x v="11"/>
    <x v="6"/>
    <n v="0.59048"/>
    <n v="8.2011111111111106"/>
  </r>
  <r>
    <x v="4"/>
    <x v="6"/>
    <n v="0.55400800000000006"/>
    <n v="7.6945555555555556"/>
  </r>
  <r>
    <x v="12"/>
    <x v="6"/>
    <n v="0.62280000000000013"/>
    <n v="8.65"/>
  </r>
  <r>
    <x v="1"/>
    <x v="6"/>
    <n v="0.715445"/>
    <n v="9.9367361111111094"/>
  </r>
  <r>
    <x v="6"/>
    <x v="6"/>
    <n v="0.54764266666666672"/>
    <n v="7.6061481481481481"/>
  </r>
  <r>
    <x v="19"/>
    <x v="6"/>
    <n v="0.54673023333333326"/>
    <n v="7.5934754629629611"/>
  </r>
  <r>
    <x v="20"/>
    <x v="6"/>
    <n v="0.58311999999999997"/>
    <n v="8.0988888888888884"/>
  </r>
  <r>
    <x v="9"/>
    <x v="6"/>
    <n v="0.58848"/>
    <n v="8.173333333333332"/>
  </r>
  <r>
    <x v="13"/>
    <x v="6"/>
    <n v="0.57616000000000001"/>
    <n v="8.0022222222222208"/>
  </r>
  <r>
    <x v="21"/>
    <x v="6"/>
    <n v="0.62644"/>
    <n v="8.7005555555555549"/>
  </r>
  <r>
    <x v="14"/>
    <x v="6"/>
    <n v="0.72266666666666668"/>
    <n v="10.037037037037035"/>
  </r>
  <r>
    <x v="22"/>
    <x v="6"/>
    <n v="0.64659999999999995"/>
    <n v="8.9805555555555543"/>
  </r>
  <r>
    <x v="2"/>
    <x v="6"/>
    <n v="0.59392666666666671"/>
    <n v="8.2489814814814792"/>
  </r>
  <r>
    <x v="16"/>
    <x v="7"/>
    <n v="0.84025640000000001"/>
    <n v="11.670227777777777"/>
  </r>
  <r>
    <x v="23"/>
    <x v="7"/>
    <n v="0.74552023333333317"/>
    <n v="10.354447685185182"/>
  </r>
  <r>
    <x v="17"/>
    <x v="7"/>
    <n v="0.77692000000000005"/>
    <n v="10.790555555555553"/>
  </r>
  <r>
    <x v="24"/>
    <x v="7"/>
    <n v="0.76847333333333334"/>
    <n v="10.67324074074074"/>
  </r>
  <r>
    <x v="4"/>
    <x v="8"/>
    <n v="0.55400800000000006"/>
    <n v="7.6945555555555556"/>
  </r>
  <r>
    <x v="18"/>
    <x v="8"/>
    <n v="0.56486000000000003"/>
    <n v="7.8452777777777767"/>
  </r>
  <r>
    <x v="1"/>
    <x v="8"/>
    <n v="0.715445"/>
    <n v="9.9367361111111094"/>
  </r>
  <r>
    <x v="6"/>
    <x v="8"/>
    <n v="0.54764266666666672"/>
    <n v="7.6061481481481481"/>
  </r>
  <r>
    <x v="19"/>
    <x v="8"/>
    <n v="0.54673023333333326"/>
    <n v="7.5934754629629611"/>
  </r>
  <r>
    <x v="14"/>
    <x v="8"/>
    <n v="0.72266666666666668"/>
    <n v="10.037037037037035"/>
  </r>
  <r>
    <x v="22"/>
    <x v="8"/>
    <n v="0.64659999999999995"/>
    <n v="8.9805555555555543"/>
  </r>
  <r>
    <x v="23"/>
    <x v="8"/>
    <n v="0.74552023333333317"/>
    <n v="10.354447685185182"/>
  </r>
  <r>
    <x v="20"/>
    <x v="8"/>
    <n v="0.58311999999999997"/>
    <n v="8.0988888888888884"/>
  </r>
  <r>
    <x v="2"/>
    <x v="8"/>
    <n v="0.59392666666666671"/>
    <n v="8.2489814814814792"/>
  </r>
  <r>
    <x v="18"/>
    <x v="9"/>
    <n v="0.56486000000000003"/>
    <n v="7.8452777777777767"/>
  </r>
  <r>
    <x v="11"/>
    <x v="9"/>
    <n v="0.59048"/>
    <n v="8.2011111111111106"/>
  </r>
  <r>
    <x v="4"/>
    <x v="9"/>
    <n v="0.55400800000000006"/>
    <n v="7.6945555555555556"/>
  </r>
  <r>
    <x v="12"/>
    <x v="9"/>
    <n v="0.62280000000000013"/>
    <n v="8.65"/>
  </r>
  <r>
    <x v="25"/>
    <x v="9"/>
    <n v="0.58621333333333336"/>
    <n v="8.1418518518518503"/>
  </r>
  <r>
    <x v="1"/>
    <x v="9"/>
    <n v="0.715445"/>
    <n v="9.9367361111111094"/>
  </r>
  <r>
    <x v="13"/>
    <x v="9"/>
    <n v="0.57616000000000001"/>
    <n v="8.0022222222222208"/>
  </r>
  <r>
    <x v="15"/>
    <x v="9"/>
    <n v="0.64026666666666665"/>
    <n v="8.8925925925925906"/>
  </r>
  <r>
    <x v="2"/>
    <x v="9"/>
    <n v="0.58352666666666664"/>
    <n v="8.1045370370370353"/>
  </r>
  <r>
    <x v="4"/>
    <x v="10"/>
    <n v="0.66416000000000008"/>
    <n v="9.224444444444444"/>
  </r>
  <r>
    <x v="1"/>
    <x v="10"/>
    <n v="0.84901833333333332"/>
    <n v="11.791921296296294"/>
  </r>
  <r>
    <x v="23"/>
    <x v="10"/>
    <n v="0.74552023333333317"/>
    <n v="10.354447685185182"/>
  </r>
  <r>
    <x v="24"/>
    <x v="10"/>
    <n v="0.76847333333333334"/>
    <n v="10.673240740740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F022C3-1511-4BE4-AC6C-EE7CB9CF6A8A}" name="PivotTable1" cacheId="492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 chartFormat="1">
  <location ref="A3:C89" firstHeaderRow="0" firstDataRow="1" firstDataCol="1"/>
  <pivotFields count="4">
    <pivotField axis="axisRow" showAll="0">
      <items count="27">
        <item x="18"/>
        <item x="11"/>
        <item x="4"/>
        <item x="8"/>
        <item x="12"/>
        <item x="25"/>
        <item x="1"/>
        <item x="6"/>
        <item x="5"/>
        <item x="9"/>
        <item x="13"/>
        <item x="21"/>
        <item x="14"/>
        <item x="0"/>
        <item x="3"/>
        <item x="15"/>
        <item x="23"/>
        <item x="16"/>
        <item x="22"/>
        <item x="10"/>
        <item x="17"/>
        <item x="20"/>
        <item x="19"/>
        <item x="2"/>
        <item x="24"/>
        <item x="7"/>
        <item t="default"/>
      </items>
    </pivotField>
    <pivotField axis="axisRow" showAll="0">
      <items count="12">
        <item x="7"/>
        <item x="8"/>
        <item x="10"/>
        <item x="5"/>
        <item x="0"/>
        <item x="1"/>
        <item x="3"/>
        <item x="9"/>
        <item x="6"/>
        <item x="4"/>
        <item x="2"/>
        <item t="default"/>
      </items>
    </pivotField>
    <pivotField dataField="1" numFmtId="165" showAll="0">
      <items count="41">
        <item x="16"/>
        <item x="28"/>
        <item x="27"/>
        <item x="14"/>
        <item x="7"/>
        <item x="22"/>
        <item x="26"/>
        <item x="9"/>
        <item x="21"/>
        <item x="29"/>
        <item x="17"/>
        <item x="37"/>
        <item x="36"/>
        <item x="30"/>
        <item x="18"/>
        <item x="2"/>
        <item x="11"/>
        <item x="19"/>
        <item x="31"/>
        <item x="23"/>
        <item x="6"/>
        <item x="15"/>
        <item x="4"/>
        <item x="0"/>
        <item x="38"/>
        <item x="20"/>
        <item x="10"/>
        <item x="13"/>
        <item x="3"/>
        <item x="12"/>
        <item x="8"/>
        <item x="32"/>
        <item x="1"/>
        <item x="33"/>
        <item x="5"/>
        <item x="35"/>
        <item x="34"/>
        <item x="25"/>
        <item x="24"/>
        <item x="39"/>
        <item t="default"/>
      </items>
    </pivotField>
    <pivotField dataField="1" numFmtId="165" showAll="0"/>
  </pivotFields>
  <rowFields count="2">
    <field x="1"/>
    <field x="0"/>
  </rowFields>
  <rowItems count="86">
    <i>
      <x/>
    </i>
    <i r="1">
      <x v="16"/>
    </i>
    <i r="1">
      <x v="17"/>
    </i>
    <i r="1">
      <x v="20"/>
    </i>
    <i r="1">
      <x v="24"/>
    </i>
    <i>
      <x v="1"/>
    </i>
    <i r="1">
      <x/>
    </i>
    <i r="1">
      <x v="2"/>
    </i>
    <i r="1">
      <x v="6"/>
    </i>
    <i r="1">
      <x v="7"/>
    </i>
    <i r="1">
      <x v="12"/>
    </i>
    <i r="1">
      <x v="16"/>
    </i>
    <i r="1">
      <x v="18"/>
    </i>
    <i r="1">
      <x v="21"/>
    </i>
    <i r="1">
      <x v="22"/>
    </i>
    <i r="1">
      <x v="23"/>
    </i>
    <i>
      <x v="2"/>
    </i>
    <i r="1">
      <x v="2"/>
    </i>
    <i r="1">
      <x v="6"/>
    </i>
    <i r="1">
      <x v="16"/>
    </i>
    <i r="1">
      <x v="24"/>
    </i>
    <i>
      <x v="3"/>
    </i>
    <i r="1">
      <x v="17"/>
    </i>
    <i r="1">
      <x v="20"/>
    </i>
    <i>
      <x v="4"/>
    </i>
    <i r="1">
      <x v="2"/>
    </i>
    <i r="1">
      <x v="6"/>
    </i>
    <i r="1">
      <x v="7"/>
    </i>
    <i r="1">
      <x v="8"/>
    </i>
    <i r="1">
      <x v="13"/>
    </i>
    <i r="1">
      <x v="14"/>
    </i>
    <i r="1">
      <x v="23"/>
    </i>
    <i>
      <x v="5"/>
    </i>
    <i r="1">
      <x v="2"/>
    </i>
    <i r="1">
      <x v="6"/>
    </i>
    <i r="1">
      <x v="14"/>
    </i>
    <i r="1">
      <x v="23"/>
    </i>
    <i r="1">
      <x v="25"/>
    </i>
    <i>
      <x v="6"/>
    </i>
    <i r="1">
      <x v="2"/>
    </i>
    <i r="1">
      <x v="6"/>
    </i>
    <i r="1">
      <x v="9"/>
    </i>
    <i r="1">
      <x v="14"/>
    </i>
    <i r="1">
      <x v="19"/>
    </i>
    <i r="1">
      <x v="23"/>
    </i>
    <i>
      <x v="7"/>
    </i>
    <i r="1">
      <x/>
    </i>
    <i r="1">
      <x v="1"/>
    </i>
    <i r="1">
      <x v="2"/>
    </i>
    <i r="1">
      <x v="4"/>
    </i>
    <i r="1">
      <x v="5"/>
    </i>
    <i r="1">
      <x v="6"/>
    </i>
    <i r="1">
      <x v="10"/>
    </i>
    <i r="1">
      <x v="15"/>
    </i>
    <i r="1">
      <x v="23"/>
    </i>
    <i>
      <x v="8"/>
    </i>
    <i r="1">
      <x/>
    </i>
    <i r="1">
      <x v="1"/>
    </i>
    <i r="1">
      <x v="2"/>
    </i>
    <i r="1">
      <x v="4"/>
    </i>
    <i r="1">
      <x v="6"/>
    </i>
    <i r="1">
      <x v="7"/>
    </i>
    <i r="1">
      <x v="9"/>
    </i>
    <i r="1">
      <x v="10"/>
    </i>
    <i r="1">
      <x v="11"/>
    </i>
    <i r="1">
      <x v="12"/>
    </i>
    <i r="1">
      <x v="18"/>
    </i>
    <i r="1">
      <x v="21"/>
    </i>
    <i r="1">
      <x v="22"/>
    </i>
    <i r="1">
      <x v="23"/>
    </i>
    <i>
      <x v="9"/>
    </i>
    <i r="1">
      <x v="1"/>
    </i>
    <i r="1">
      <x v="2"/>
    </i>
    <i r="1">
      <x v="4"/>
    </i>
    <i r="1">
      <x v="6"/>
    </i>
    <i r="1">
      <x v="9"/>
    </i>
    <i r="1">
      <x v="10"/>
    </i>
    <i r="1">
      <x v="12"/>
    </i>
    <i r="1">
      <x v="15"/>
    </i>
    <i r="1">
      <x v="23"/>
    </i>
    <i r="1">
      <x v="25"/>
    </i>
    <i>
      <x v="10"/>
    </i>
    <i r="1">
      <x v="3"/>
    </i>
    <i r="1">
      <x v="6"/>
    </i>
    <i r="1">
      <x v="14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Headline Price ($/L)" fld="2" subtotal="average" baseField="1" baseItem="0" numFmtId="165"/>
    <dataField name="Average of Headline Price ($/kgMS)" fld="3" subtotal="average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16672B-FC2E-4241-9769-91A927FAC8F4}" name="TABLE" displayName="TABLE" ref="B2:G121" totalsRowShown="0">
  <autoFilter ref="B2:G121" xr:uid="{2A16672B-FC2E-4241-9769-91A927FAC8F4}"/>
  <sortState xmlns:xlrd2="http://schemas.microsoft.com/office/spreadsheetml/2017/richdata2" ref="B3:G121">
    <sortCondition ref="C2:C121"/>
  </sortState>
  <tableColumns count="6">
    <tableColumn id="1" xr3:uid="{D34B0720-48BB-4FB4-973E-ED3E7FB84783}" name="Processor"/>
    <tableColumn id="2" xr3:uid="{C66051C0-481C-41EB-8C94-6E3B6B421E49}" name="Region"/>
    <tableColumn id="3" xr3:uid="{27417BE6-22F1-4F3A-A6A8-F83CE017ED4D}" name="Headline Price ($/L)" dataDxfId="3"/>
    <tableColumn id="4" xr3:uid="{907B81A6-0AF4-4F36-9918-D8763D415553}" name="Headline Price ($/kgMS)" dataDxfId="2"/>
    <tableColumn id="5" xr3:uid="{5AF1F475-2E3F-401F-87F4-07D60B5CEC6E}" name="Link to MSA" dataDxfId="1"/>
    <tableColumn id="6" xr3:uid="{E330321E-CB7A-441E-8668-E71D8395DCF6}" name="MP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begagroup.com.au/farm-services/milk-supply-agreements/" TargetMode="External"/><Relationship Id="rId21" Type="http://schemas.openxmlformats.org/officeDocument/2006/relationships/hyperlink" Target="https://begagroup.com.au/farm-services/milk-supply-agreements/" TargetMode="External"/><Relationship Id="rId42" Type="http://schemas.openxmlformats.org/officeDocument/2006/relationships/hyperlink" Target="https://frestine.com/milk_suppliers/" TargetMode="External"/><Relationship Id="rId63" Type="http://schemas.openxmlformats.org/officeDocument/2006/relationships/hyperlink" Target="https://www.norco.com.au/supply-milk-agreements-2024-2025.php" TargetMode="External"/><Relationship Id="rId84" Type="http://schemas.openxmlformats.org/officeDocument/2006/relationships/hyperlink" Target="https://dfmc.org.au/raw-milk-supply-2024-2025/" TargetMode="External"/><Relationship Id="rId138" Type="http://schemas.openxmlformats.org/officeDocument/2006/relationships/hyperlink" Target="https://www.saputodairyaustralia.com.au/en/milk-supply" TargetMode="External"/><Relationship Id="rId159" Type="http://schemas.openxmlformats.org/officeDocument/2006/relationships/hyperlink" Target="https://begagroup.com.au/farm-services/milk-supply-agreements/" TargetMode="External"/><Relationship Id="rId170" Type="http://schemas.openxmlformats.org/officeDocument/2006/relationships/hyperlink" Target="https://dfmc.org.au/raw-milk-supply-2024-2025/" TargetMode="External"/><Relationship Id="rId191" Type="http://schemas.openxmlformats.org/officeDocument/2006/relationships/hyperlink" Target="https://udcmilk.com.au/raw-milk-supply/milk-supply-agreement-2021-2022-copy-copy-copy/" TargetMode="External"/><Relationship Id="rId205" Type="http://schemas.openxmlformats.org/officeDocument/2006/relationships/hyperlink" Target="https://www.aufarmsource.com.au/pricing" TargetMode="External"/><Relationship Id="rId226" Type="http://schemas.openxmlformats.org/officeDocument/2006/relationships/hyperlink" Target="https://begagroup.com.au/farm-services/milk-supply-agreements/" TargetMode="External"/><Relationship Id="rId107" Type="http://schemas.openxmlformats.org/officeDocument/2006/relationships/hyperlink" Target="https://udcmilk.com.au/raw-milk-supply/milk-supply-agreement-2021-2022-copy-copy-copy/" TargetMode="External"/><Relationship Id="rId11" Type="http://schemas.openxmlformats.org/officeDocument/2006/relationships/hyperlink" Target="https://www.saputodairyaustralia.com.au/en/milk-supply" TargetMode="External"/><Relationship Id="rId32" Type="http://schemas.openxmlformats.org/officeDocument/2006/relationships/hyperlink" Target="https://lactalis.com.au/milk-supply-agreement-2022-2023/" TargetMode="External"/><Relationship Id="rId53" Type="http://schemas.openxmlformats.org/officeDocument/2006/relationships/hyperlink" Target="https://www.burrafoods.com.au/standard-forms-of-agreement/" TargetMode="External"/><Relationship Id="rId74" Type="http://schemas.openxmlformats.org/officeDocument/2006/relationships/hyperlink" Target="https://www.aufarmsource.com.au/pricing" TargetMode="External"/><Relationship Id="rId128" Type="http://schemas.openxmlformats.org/officeDocument/2006/relationships/hyperlink" Target="https://lactalis.com.au/milk-supply-agreement-2022-2023/" TargetMode="External"/><Relationship Id="rId149" Type="http://schemas.openxmlformats.org/officeDocument/2006/relationships/hyperlink" Target="https://begagroup.com.au/farm-services/milk-supply-agreements/" TargetMode="External"/><Relationship Id="rId5" Type="http://schemas.openxmlformats.org/officeDocument/2006/relationships/hyperlink" Target="https://suppliercentral.coles.com.au/s/article/Dairy-Farmers" TargetMode="External"/><Relationship Id="rId95" Type="http://schemas.openxmlformats.org/officeDocument/2006/relationships/hyperlink" Target="https://www.kyvalleydairy.com.au/milk-supply-agreements" TargetMode="External"/><Relationship Id="rId160" Type="http://schemas.openxmlformats.org/officeDocument/2006/relationships/hyperlink" Target="https://www.bulla.com.au/farmers/resources/" TargetMode="External"/><Relationship Id="rId181" Type="http://schemas.openxmlformats.org/officeDocument/2006/relationships/hyperlink" Target="https://frestine.com/milk_suppliers/" TargetMode="External"/><Relationship Id="rId216" Type="http://schemas.openxmlformats.org/officeDocument/2006/relationships/hyperlink" Target="https://dfmc.org.au/raw-milk-supply-2024-2025/" TargetMode="External"/><Relationship Id="rId22" Type="http://schemas.openxmlformats.org/officeDocument/2006/relationships/hyperlink" Target="https://begagroup.com.au/farm-services/milk-supply-agreements/" TargetMode="External"/><Relationship Id="rId43" Type="http://schemas.openxmlformats.org/officeDocument/2006/relationships/hyperlink" Target="https://frestine.com/milk_suppliers/" TargetMode="External"/><Relationship Id="rId64" Type="http://schemas.openxmlformats.org/officeDocument/2006/relationships/hyperlink" Target="https://www.norco.com.au/supply-milk-agreements-2024-2025.php" TargetMode="External"/><Relationship Id="rId118" Type="http://schemas.openxmlformats.org/officeDocument/2006/relationships/hyperlink" Target="https://begagroup.com.au/farm-services/milk-supply-agreements/" TargetMode="External"/><Relationship Id="rId139" Type="http://schemas.openxmlformats.org/officeDocument/2006/relationships/hyperlink" Target="https://lactalis.com.au/milk-supply-agreement-2022-2023/" TargetMode="External"/><Relationship Id="rId85" Type="http://schemas.openxmlformats.org/officeDocument/2006/relationships/hyperlink" Target="https://www.burrafoods.com.au/standard-forms-of-agreement/" TargetMode="External"/><Relationship Id="rId150" Type="http://schemas.openxmlformats.org/officeDocument/2006/relationships/hyperlink" Target="https://begagroup.com.au/farm-services/milk-supply-agreements/" TargetMode="External"/><Relationship Id="rId171" Type="http://schemas.openxmlformats.org/officeDocument/2006/relationships/hyperlink" Target="https://dfmc.org.au/raw-milk-supply-2024-2025/" TargetMode="External"/><Relationship Id="rId192" Type="http://schemas.openxmlformats.org/officeDocument/2006/relationships/hyperlink" Target="https://udcmilk.com.au/raw-milk-supply/milk-supply-agreement-2021-2022-copy-copy-copy/" TargetMode="External"/><Relationship Id="rId206" Type="http://schemas.openxmlformats.org/officeDocument/2006/relationships/hyperlink" Target="https://www.aufarmsource.com.au/pricing" TargetMode="External"/><Relationship Id="rId227" Type="http://schemas.openxmlformats.org/officeDocument/2006/relationships/hyperlink" Target="https://begagroup.com.au/farm-services/milk-supply-agreements/" TargetMode="External"/><Relationship Id="rId12" Type="http://schemas.openxmlformats.org/officeDocument/2006/relationships/hyperlink" Target="https://www.saputodairyaustralia.com.au/en/milk-supply" TargetMode="External"/><Relationship Id="rId33" Type="http://schemas.openxmlformats.org/officeDocument/2006/relationships/hyperlink" Target="https://lactalis.com.au/milk-supply-agreement-2022-2023/" TargetMode="External"/><Relationship Id="rId108" Type="http://schemas.openxmlformats.org/officeDocument/2006/relationships/hyperlink" Target="https://www.australianconsolidatedmilk.com.au/suppliers" TargetMode="External"/><Relationship Id="rId129" Type="http://schemas.openxmlformats.org/officeDocument/2006/relationships/hyperlink" Target="https://lactalis.com.au/milk-supply-agreement-2022-2023/" TargetMode="External"/><Relationship Id="rId54" Type="http://schemas.openxmlformats.org/officeDocument/2006/relationships/hyperlink" Target="https://www.bulla.com.au/farmers/resources/" TargetMode="External"/><Relationship Id="rId75" Type="http://schemas.openxmlformats.org/officeDocument/2006/relationships/hyperlink" Target="https://www.australianconsolidatedmilk.com.au/suppliers" TargetMode="External"/><Relationship Id="rId96" Type="http://schemas.openxmlformats.org/officeDocument/2006/relationships/hyperlink" Target="https://frestine.com/milk_suppliers/" TargetMode="External"/><Relationship Id="rId140" Type="http://schemas.openxmlformats.org/officeDocument/2006/relationships/hyperlink" Target="https://suppliercentral.coles.com.au/s/article/Dairy-Farmers" TargetMode="External"/><Relationship Id="rId161" Type="http://schemas.openxmlformats.org/officeDocument/2006/relationships/hyperlink" Target="https://www.bulla.com.au/farmers/resources/" TargetMode="External"/><Relationship Id="rId182" Type="http://schemas.openxmlformats.org/officeDocument/2006/relationships/hyperlink" Target="https://www.saputodairyaustralia.com.au/en/milk-supply" TargetMode="External"/><Relationship Id="rId217" Type="http://schemas.openxmlformats.org/officeDocument/2006/relationships/hyperlink" Target="https://www.bulla.com.au/farmers/resources/" TargetMode="External"/><Relationship Id="rId6" Type="http://schemas.openxmlformats.org/officeDocument/2006/relationships/hyperlink" Target="https://suppliercentral.coles.com.au/s/article/Dairy-Farmers" TargetMode="External"/><Relationship Id="rId23" Type="http://schemas.openxmlformats.org/officeDocument/2006/relationships/hyperlink" Target="https://begagroup.com.au/farm-services/milk-supply-agreements/" TargetMode="External"/><Relationship Id="rId119" Type="http://schemas.openxmlformats.org/officeDocument/2006/relationships/hyperlink" Target="https://begagroup.com.au/farm-services/milk-supply-agreements/" TargetMode="External"/><Relationship Id="rId44" Type="http://schemas.openxmlformats.org/officeDocument/2006/relationships/hyperlink" Target="https://udcmilk.com.au/raw-milk-supply/milk-supply-agreement-2021-2022-copy-copy-copy/" TargetMode="External"/><Relationship Id="rId65" Type="http://schemas.openxmlformats.org/officeDocument/2006/relationships/hyperlink" Target="https://www.australianconsolidatedmilk.com.au/suppliers" TargetMode="External"/><Relationship Id="rId86" Type="http://schemas.openxmlformats.org/officeDocument/2006/relationships/hyperlink" Target="https://gvcreamery.com/farmers" TargetMode="External"/><Relationship Id="rId130" Type="http://schemas.openxmlformats.org/officeDocument/2006/relationships/hyperlink" Target="https://www.kyvalleydairy.com.au/milk-supply-agreements" TargetMode="External"/><Relationship Id="rId151" Type="http://schemas.openxmlformats.org/officeDocument/2006/relationships/hyperlink" Target="https://begagroup.com.au/farm-services/milk-supply-agreements/" TargetMode="External"/><Relationship Id="rId172" Type="http://schemas.openxmlformats.org/officeDocument/2006/relationships/hyperlink" Target="https://www.aufarmsource.com.au/pricing" TargetMode="External"/><Relationship Id="rId193" Type="http://schemas.openxmlformats.org/officeDocument/2006/relationships/hyperlink" Target="https://www.saputodairyaustralia.com.au/en/milk-supply" TargetMode="External"/><Relationship Id="rId207" Type="http://schemas.openxmlformats.org/officeDocument/2006/relationships/hyperlink" Target="https://www.aufarmsource.com.au/pricing" TargetMode="External"/><Relationship Id="rId228" Type="http://schemas.openxmlformats.org/officeDocument/2006/relationships/hyperlink" Target="https://begagroup.com.au/farm-services/milk-supply-agreements/" TargetMode="External"/><Relationship Id="rId13" Type="http://schemas.openxmlformats.org/officeDocument/2006/relationships/hyperlink" Target="https://www.saputodairyaustralia.com.au/en/milk-supply" TargetMode="External"/><Relationship Id="rId109" Type="http://schemas.openxmlformats.org/officeDocument/2006/relationships/hyperlink" Target="https://www.australianconsolidatedmilk.com.au/suppliers" TargetMode="External"/><Relationship Id="rId34" Type="http://schemas.openxmlformats.org/officeDocument/2006/relationships/hyperlink" Target="https://lactalis.com.au/milk-supply-agreement-2022-2023/" TargetMode="External"/><Relationship Id="rId55" Type="http://schemas.openxmlformats.org/officeDocument/2006/relationships/hyperlink" Target="https://www.bulla.com.au/farmers/resources/" TargetMode="External"/><Relationship Id="rId76" Type="http://schemas.openxmlformats.org/officeDocument/2006/relationships/hyperlink" Target="https://www.saputodairyaustralia.com.au/en/milk-supply" TargetMode="External"/><Relationship Id="rId97" Type="http://schemas.openxmlformats.org/officeDocument/2006/relationships/hyperlink" Target="https://frestine.com/milk_suppliers/" TargetMode="External"/><Relationship Id="rId120" Type="http://schemas.openxmlformats.org/officeDocument/2006/relationships/hyperlink" Target="https://begagroup.com.au/farm-services/milk-supply-agreements/" TargetMode="External"/><Relationship Id="rId141" Type="http://schemas.openxmlformats.org/officeDocument/2006/relationships/hyperlink" Target="https://suppliercentral.coles.com.au/s/article/Dairy-Farmers" TargetMode="External"/><Relationship Id="rId7" Type="http://schemas.openxmlformats.org/officeDocument/2006/relationships/hyperlink" Target="https://suppliercentral.coles.com.au/s/article/Dairy-Farmers" TargetMode="External"/><Relationship Id="rId162" Type="http://schemas.openxmlformats.org/officeDocument/2006/relationships/hyperlink" Target="https://www.bulla.com.au/farmers/resources/" TargetMode="External"/><Relationship Id="rId183" Type="http://schemas.openxmlformats.org/officeDocument/2006/relationships/hyperlink" Target="https://www.saputodairyaustralia.com.au/en/milk-supply" TargetMode="External"/><Relationship Id="rId218" Type="http://schemas.openxmlformats.org/officeDocument/2006/relationships/hyperlink" Target="https://www.bulla.com.au/farmers/resources/" TargetMode="External"/><Relationship Id="rId24" Type="http://schemas.openxmlformats.org/officeDocument/2006/relationships/hyperlink" Target="https://www.saputodairyaustralia.com.au/en/milk-supply" TargetMode="External"/><Relationship Id="rId45" Type="http://schemas.openxmlformats.org/officeDocument/2006/relationships/hyperlink" Target="https://brownesdairy.com.au/supplier-compliance-documents/" TargetMode="External"/><Relationship Id="rId66" Type="http://schemas.openxmlformats.org/officeDocument/2006/relationships/hyperlink" Target="https://www.australianconsolidatedmilk.com.au/suppliers" TargetMode="External"/><Relationship Id="rId87" Type="http://schemas.openxmlformats.org/officeDocument/2006/relationships/hyperlink" Target="https://frestine.com/milk_suppliers/" TargetMode="External"/><Relationship Id="rId110" Type="http://schemas.openxmlformats.org/officeDocument/2006/relationships/hyperlink" Target="https://www.australianconsolidatedmilk.com.au/suppliers" TargetMode="External"/><Relationship Id="rId131" Type="http://schemas.openxmlformats.org/officeDocument/2006/relationships/hyperlink" Target="https://lactalis.com.au/milk-supply-agreement-2022-2023/" TargetMode="External"/><Relationship Id="rId152" Type="http://schemas.openxmlformats.org/officeDocument/2006/relationships/hyperlink" Target="https://begagroup.com.au/farm-services/milk-supply-agreements/" TargetMode="External"/><Relationship Id="rId173" Type="http://schemas.openxmlformats.org/officeDocument/2006/relationships/hyperlink" Target="https://www.aufarmsource.com.au/pricing" TargetMode="External"/><Relationship Id="rId194" Type="http://schemas.openxmlformats.org/officeDocument/2006/relationships/hyperlink" Target="https://www.saputodairyaustralia.com.au/en/milk-supply" TargetMode="External"/><Relationship Id="rId208" Type="http://schemas.openxmlformats.org/officeDocument/2006/relationships/hyperlink" Target="https://www.aufarmsource.com.au/pricing" TargetMode="External"/><Relationship Id="rId229" Type="http://schemas.openxmlformats.org/officeDocument/2006/relationships/hyperlink" Target="https://begagroup.com.au/farm-services/milk-supply-agreements/" TargetMode="External"/><Relationship Id="rId14" Type="http://schemas.openxmlformats.org/officeDocument/2006/relationships/hyperlink" Target="https://www.saputodairyaustralia.com.au/en/milk-supply" TargetMode="External"/><Relationship Id="rId35" Type="http://schemas.openxmlformats.org/officeDocument/2006/relationships/hyperlink" Target="https://lactalis.com.au/milk-supply-agreement-2022-2023/" TargetMode="External"/><Relationship Id="rId56" Type="http://schemas.openxmlformats.org/officeDocument/2006/relationships/hyperlink" Target="https://www.bulla.com.au/farmers/resources/" TargetMode="External"/><Relationship Id="rId77" Type="http://schemas.openxmlformats.org/officeDocument/2006/relationships/hyperlink" Target="https://lactalis.com.au/milk-supply-agreement-2022-2023/" TargetMode="External"/><Relationship Id="rId100" Type="http://schemas.openxmlformats.org/officeDocument/2006/relationships/hyperlink" Target="https://www.bulla.com.au/farmers/resources/" TargetMode="External"/><Relationship Id="rId8" Type="http://schemas.openxmlformats.org/officeDocument/2006/relationships/hyperlink" Target="https://suppliercentral.coles.com.au/s/article/Dairy-Farmers" TargetMode="External"/><Relationship Id="rId98" Type="http://schemas.openxmlformats.org/officeDocument/2006/relationships/hyperlink" Target="https://www.aufarmsource.com.au/pricing" TargetMode="External"/><Relationship Id="rId121" Type="http://schemas.openxmlformats.org/officeDocument/2006/relationships/hyperlink" Target="https://begagroup.com.au/farm-services/milk-supply-agreements/" TargetMode="External"/><Relationship Id="rId142" Type="http://schemas.openxmlformats.org/officeDocument/2006/relationships/hyperlink" Target="https://suppliercentral.coles.com.au/s/article/Dairy-Farmers" TargetMode="External"/><Relationship Id="rId163" Type="http://schemas.openxmlformats.org/officeDocument/2006/relationships/hyperlink" Target="https://www.bulla.com.au/farmers/resources/" TargetMode="External"/><Relationship Id="rId184" Type="http://schemas.openxmlformats.org/officeDocument/2006/relationships/hyperlink" Target="https://www.saputodairyaustralia.com.au/en/milk-supply" TargetMode="External"/><Relationship Id="rId219" Type="http://schemas.openxmlformats.org/officeDocument/2006/relationships/hyperlink" Target="https://www.bulla.com.au/farmers/resources/" TargetMode="External"/><Relationship Id="rId230" Type="http://schemas.openxmlformats.org/officeDocument/2006/relationships/hyperlink" Target="https://begagroup.com.au/farm-services/milk-supply-agreements/" TargetMode="External"/><Relationship Id="rId25" Type="http://schemas.openxmlformats.org/officeDocument/2006/relationships/hyperlink" Target="https://lactalis.com.au/milk-supply-agreement-2022-2023/" TargetMode="External"/><Relationship Id="rId46" Type="http://schemas.openxmlformats.org/officeDocument/2006/relationships/hyperlink" Target="https://suppliercentral.coles.com.au/s/article/Dairy-Farmers" TargetMode="External"/><Relationship Id="rId67" Type="http://schemas.openxmlformats.org/officeDocument/2006/relationships/hyperlink" Target="https://www.australianconsolidatedmilk.com.au/suppliers" TargetMode="External"/><Relationship Id="rId20" Type="http://schemas.openxmlformats.org/officeDocument/2006/relationships/hyperlink" Target="https://begagroup.com.au/farm-services/milk-supply-agreements/" TargetMode="External"/><Relationship Id="rId41" Type="http://schemas.openxmlformats.org/officeDocument/2006/relationships/hyperlink" Target="https://frestine.com/milk_suppliers/" TargetMode="External"/><Relationship Id="rId62" Type="http://schemas.openxmlformats.org/officeDocument/2006/relationships/hyperlink" Target="https://udcmilk.com.au/raw-milk-supply/milk-supply-agreement-2021-2022-copy-copy-copy/" TargetMode="External"/><Relationship Id="rId83" Type="http://schemas.openxmlformats.org/officeDocument/2006/relationships/hyperlink" Target="https://www.fleurieumilkco.com.au/our-farmers/" TargetMode="External"/><Relationship Id="rId88" Type="http://schemas.openxmlformats.org/officeDocument/2006/relationships/hyperlink" Target="https://noumi.com.au/milk-suppliers/" TargetMode="External"/><Relationship Id="rId111" Type="http://schemas.openxmlformats.org/officeDocument/2006/relationships/hyperlink" Target="https://dfmc.org.au/raw-milk-supply-2024-2025/" TargetMode="External"/><Relationship Id="rId132" Type="http://schemas.openxmlformats.org/officeDocument/2006/relationships/hyperlink" Target="https://lactalis.com.au/milk-supply-agreement-2022-2023/" TargetMode="External"/><Relationship Id="rId153" Type="http://schemas.openxmlformats.org/officeDocument/2006/relationships/hyperlink" Target="https://begagroup.com.au/farm-services/milk-supply-agreements/" TargetMode="External"/><Relationship Id="rId174" Type="http://schemas.openxmlformats.org/officeDocument/2006/relationships/hyperlink" Target="https://www.aufarmsource.com.au/pricing" TargetMode="External"/><Relationship Id="rId179" Type="http://schemas.openxmlformats.org/officeDocument/2006/relationships/hyperlink" Target="https://frestine.com/milk_suppliers/" TargetMode="External"/><Relationship Id="rId195" Type="http://schemas.openxmlformats.org/officeDocument/2006/relationships/hyperlink" Target="https://www.saputodairyaustralia.com.au/en/milk-supply" TargetMode="External"/><Relationship Id="rId209" Type="http://schemas.openxmlformats.org/officeDocument/2006/relationships/hyperlink" Target="https://www.aufarmsource.com.au/pricing" TargetMode="External"/><Relationship Id="rId190" Type="http://schemas.openxmlformats.org/officeDocument/2006/relationships/hyperlink" Target="https://udcmilk.com.au/raw-milk-supply/milk-supply-agreement-2021-2022-copy-copy-copy/" TargetMode="External"/><Relationship Id="rId204" Type="http://schemas.openxmlformats.org/officeDocument/2006/relationships/hyperlink" Target="https://www.aufarmsource.com.au/pricing" TargetMode="External"/><Relationship Id="rId220" Type="http://schemas.openxmlformats.org/officeDocument/2006/relationships/hyperlink" Target="https://www.bulla.com.au/farmers/resources/" TargetMode="External"/><Relationship Id="rId225" Type="http://schemas.openxmlformats.org/officeDocument/2006/relationships/hyperlink" Target="https://begagroup.com.au/farm-services/milk-supply-agreements/" TargetMode="External"/><Relationship Id="rId15" Type="http://schemas.openxmlformats.org/officeDocument/2006/relationships/hyperlink" Target="https://www.saputodairyaustralia.com.au/en/milk-supply" TargetMode="External"/><Relationship Id="rId36" Type="http://schemas.openxmlformats.org/officeDocument/2006/relationships/hyperlink" Target="https://lactalis.com.au/milk-supply-agreement-2022-2023/" TargetMode="External"/><Relationship Id="rId57" Type="http://schemas.openxmlformats.org/officeDocument/2006/relationships/hyperlink" Target="https://www.kyvalleydairy.com.au/milk-supply-agreements" TargetMode="External"/><Relationship Id="rId106" Type="http://schemas.openxmlformats.org/officeDocument/2006/relationships/hyperlink" Target="https://brownesdairy.com.au/supplier-compliance-documents/" TargetMode="External"/><Relationship Id="rId127" Type="http://schemas.openxmlformats.org/officeDocument/2006/relationships/hyperlink" Target="https://lactalis.com.au/milk-supply-agreement-2022-2023/" TargetMode="External"/><Relationship Id="rId10" Type="http://schemas.openxmlformats.org/officeDocument/2006/relationships/hyperlink" Target="https://www.saputodairyaustralia.com.au/en/milk-supply" TargetMode="External"/><Relationship Id="rId31" Type="http://schemas.openxmlformats.org/officeDocument/2006/relationships/hyperlink" Target="https://lactalis.com.au/milk-supply-agreement-2022-2023/" TargetMode="External"/><Relationship Id="rId52" Type="http://schemas.openxmlformats.org/officeDocument/2006/relationships/hyperlink" Target="https://adfc.com.au/milk-supply/" TargetMode="External"/><Relationship Id="rId73" Type="http://schemas.openxmlformats.org/officeDocument/2006/relationships/hyperlink" Target="https://www.saputodairyaustralia.com.au/en/milk-supply" TargetMode="External"/><Relationship Id="rId78" Type="http://schemas.openxmlformats.org/officeDocument/2006/relationships/hyperlink" Target="https://suppliercentral.coles.com.au/s/article/Dairy-Farmers" TargetMode="External"/><Relationship Id="rId94" Type="http://schemas.openxmlformats.org/officeDocument/2006/relationships/hyperlink" Target="https://www.kyvalleydairy.com.au/milk-supply-agreements" TargetMode="External"/><Relationship Id="rId99" Type="http://schemas.openxmlformats.org/officeDocument/2006/relationships/hyperlink" Target="https://www.bulla.com.au/farmers/resources/" TargetMode="External"/><Relationship Id="rId101" Type="http://schemas.openxmlformats.org/officeDocument/2006/relationships/hyperlink" Target="https://www.bulla.com.au/farmers/resources/" TargetMode="External"/><Relationship Id="rId122" Type="http://schemas.openxmlformats.org/officeDocument/2006/relationships/hyperlink" Target="https://begagroup.com.au/farm-services/milk-supply-agreements/" TargetMode="External"/><Relationship Id="rId143" Type="http://schemas.openxmlformats.org/officeDocument/2006/relationships/hyperlink" Target="https://suppliercentral.coles.com.au/s/article/Dairy-Farmers" TargetMode="External"/><Relationship Id="rId148" Type="http://schemas.openxmlformats.org/officeDocument/2006/relationships/hyperlink" Target="https://www.lacasa.com.au/our-farm-partners/" TargetMode="External"/><Relationship Id="rId164" Type="http://schemas.openxmlformats.org/officeDocument/2006/relationships/hyperlink" Target="https://www.bulla.com.au/farmers/resources/" TargetMode="External"/><Relationship Id="rId169" Type="http://schemas.openxmlformats.org/officeDocument/2006/relationships/hyperlink" Target="https://dfmc.org.au/raw-milk-supply-2024-2025/" TargetMode="External"/><Relationship Id="rId185" Type="http://schemas.openxmlformats.org/officeDocument/2006/relationships/hyperlink" Target="https://www.saputodairyaustralia.com.au/en/milk-supply" TargetMode="External"/><Relationship Id="rId4" Type="http://schemas.openxmlformats.org/officeDocument/2006/relationships/hyperlink" Target="https://suppliercentral.coles.com.au/s/article/Dairy-Farmers" TargetMode="External"/><Relationship Id="rId9" Type="http://schemas.openxmlformats.org/officeDocument/2006/relationships/hyperlink" Target="https://suppliercentral.coles.com.au/s/article/Dairy-Farmers" TargetMode="External"/><Relationship Id="rId180" Type="http://schemas.openxmlformats.org/officeDocument/2006/relationships/hyperlink" Target="https://frestine.com/milk_suppliers/" TargetMode="External"/><Relationship Id="rId210" Type="http://schemas.openxmlformats.org/officeDocument/2006/relationships/hyperlink" Target="https://dfmc.org.au/raw-milk-supply-2024-2025/" TargetMode="External"/><Relationship Id="rId215" Type="http://schemas.openxmlformats.org/officeDocument/2006/relationships/hyperlink" Target="https://dfmc.org.au/raw-milk-supply-2024-2025/" TargetMode="External"/><Relationship Id="rId26" Type="http://schemas.openxmlformats.org/officeDocument/2006/relationships/hyperlink" Target="https://lactalis.com.au/milk-supply-agreement-2022-2023/" TargetMode="External"/><Relationship Id="rId231" Type="http://schemas.openxmlformats.org/officeDocument/2006/relationships/hyperlink" Target="https://begagroup.com.au/farm-services/milk-supply-agreements/" TargetMode="External"/><Relationship Id="rId47" Type="http://schemas.openxmlformats.org/officeDocument/2006/relationships/hyperlink" Target="https://www.aufarmsource.com.au/pricing" TargetMode="External"/><Relationship Id="rId68" Type="http://schemas.openxmlformats.org/officeDocument/2006/relationships/hyperlink" Target="https://noumi.com.au/milk-suppliers/" TargetMode="External"/><Relationship Id="rId89" Type="http://schemas.openxmlformats.org/officeDocument/2006/relationships/hyperlink" Target="https://noumi.com.au/milk-suppliers/" TargetMode="External"/><Relationship Id="rId112" Type="http://schemas.openxmlformats.org/officeDocument/2006/relationships/hyperlink" Target="https://dfmc.org.au/raw-milk-supply-2024-2025/" TargetMode="External"/><Relationship Id="rId133" Type="http://schemas.openxmlformats.org/officeDocument/2006/relationships/hyperlink" Target="https://www.saputodairyaustralia.com.au/en/milk-supply" TargetMode="External"/><Relationship Id="rId154" Type="http://schemas.openxmlformats.org/officeDocument/2006/relationships/hyperlink" Target="https://begagroup.com.au/farm-services/milk-supply-agreements/" TargetMode="External"/><Relationship Id="rId175" Type="http://schemas.openxmlformats.org/officeDocument/2006/relationships/hyperlink" Target="https://www.aufarmsource.com.au/pricing" TargetMode="External"/><Relationship Id="rId196" Type="http://schemas.openxmlformats.org/officeDocument/2006/relationships/hyperlink" Target="https://www.saputodairyaustralia.com.au/en/milk-supply" TargetMode="External"/><Relationship Id="rId200" Type="http://schemas.openxmlformats.org/officeDocument/2006/relationships/hyperlink" Target="https://frestine.com/milk_suppliers/" TargetMode="External"/><Relationship Id="rId16" Type="http://schemas.openxmlformats.org/officeDocument/2006/relationships/hyperlink" Target="https://www.saputodairyaustralia.com.au/en/milk-supply" TargetMode="External"/><Relationship Id="rId221" Type="http://schemas.openxmlformats.org/officeDocument/2006/relationships/hyperlink" Target="https://www.bulla.com.au/farmers/resources/" TargetMode="External"/><Relationship Id="rId37" Type="http://schemas.openxmlformats.org/officeDocument/2006/relationships/hyperlink" Target="https://www.fleurieumilkco.com.au/our-farmers/" TargetMode="External"/><Relationship Id="rId58" Type="http://schemas.openxmlformats.org/officeDocument/2006/relationships/hyperlink" Target="https://www.kyvalleydairy.com.au/milk-supply-agreements" TargetMode="External"/><Relationship Id="rId79" Type="http://schemas.openxmlformats.org/officeDocument/2006/relationships/hyperlink" Target="https://udcmilk.com.au/raw-milk-supply/milk-supply-agreement-2021-2022-copy-copy-copy/" TargetMode="External"/><Relationship Id="rId102" Type="http://schemas.openxmlformats.org/officeDocument/2006/relationships/hyperlink" Target="https://adfc.com.au/milk-supply/" TargetMode="External"/><Relationship Id="rId123" Type="http://schemas.openxmlformats.org/officeDocument/2006/relationships/hyperlink" Target="https://lactalis.com.au/milk-supply-agreement-2022-2023/" TargetMode="External"/><Relationship Id="rId144" Type="http://schemas.openxmlformats.org/officeDocument/2006/relationships/hyperlink" Target="https://suppliercentral.coles.com.au/s/article/Dairy-Farmers" TargetMode="External"/><Relationship Id="rId90" Type="http://schemas.openxmlformats.org/officeDocument/2006/relationships/hyperlink" Target="https://www.riverinafresh.com.au/farmers/" TargetMode="External"/><Relationship Id="rId165" Type="http://schemas.openxmlformats.org/officeDocument/2006/relationships/hyperlink" Target="https://dfmc.org.au/raw-milk-supply-2024-2025/" TargetMode="External"/><Relationship Id="rId186" Type="http://schemas.openxmlformats.org/officeDocument/2006/relationships/hyperlink" Target="https://www.saputodairyaustralia.com.au/en/milk-supply" TargetMode="External"/><Relationship Id="rId211" Type="http://schemas.openxmlformats.org/officeDocument/2006/relationships/hyperlink" Target="https://dfmc.org.au/raw-milk-supply-2024-2025/" TargetMode="External"/><Relationship Id="rId232" Type="http://schemas.openxmlformats.org/officeDocument/2006/relationships/hyperlink" Target="https://begagroup.com.au/farm-services/milk-supply-agreements/" TargetMode="External"/><Relationship Id="rId27" Type="http://schemas.openxmlformats.org/officeDocument/2006/relationships/hyperlink" Target="https://lactalis.com.au/milk-supply-agreement-2022-2023/" TargetMode="External"/><Relationship Id="rId48" Type="http://schemas.openxmlformats.org/officeDocument/2006/relationships/hyperlink" Target="https://www.aufarmsource.com.au/pricing" TargetMode="External"/><Relationship Id="rId69" Type="http://schemas.openxmlformats.org/officeDocument/2006/relationships/hyperlink" Target="https://noumi.com.au/milk-suppliers/" TargetMode="External"/><Relationship Id="rId113" Type="http://schemas.openxmlformats.org/officeDocument/2006/relationships/hyperlink" Target="https://lactalis.com.au/milk-supply-agreement-2022-2023/" TargetMode="External"/><Relationship Id="rId134" Type="http://schemas.openxmlformats.org/officeDocument/2006/relationships/hyperlink" Target="https://www.saputodairyaustralia.com.au/en/milk-supply" TargetMode="External"/><Relationship Id="rId80" Type="http://schemas.openxmlformats.org/officeDocument/2006/relationships/hyperlink" Target="https://www.saputodairyaustralia.com.au/en/milk-supply" TargetMode="External"/><Relationship Id="rId155" Type="http://schemas.openxmlformats.org/officeDocument/2006/relationships/hyperlink" Target="https://begagroup.com.au/farm-services/milk-supply-agreements/" TargetMode="External"/><Relationship Id="rId176" Type="http://schemas.openxmlformats.org/officeDocument/2006/relationships/hyperlink" Target="https://www.aufarmsource.com.au/pricing" TargetMode="External"/><Relationship Id="rId197" Type="http://schemas.openxmlformats.org/officeDocument/2006/relationships/hyperlink" Target="https://www.saputodairyaustralia.com.au/en/milk-supply" TargetMode="External"/><Relationship Id="rId201" Type="http://schemas.openxmlformats.org/officeDocument/2006/relationships/hyperlink" Target="https://frestine.com/milk_suppliers/" TargetMode="External"/><Relationship Id="rId222" Type="http://schemas.openxmlformats.org/officeDocument/2006/relationships/hyperlink" Target="https://begagroup.com.au/farm-services/milk-supply-agreements/" TargetMode="External"/><Relationship Id="rId17" Type="http://schemas.openxmlformats.org/officeDocument/2006/relationships/hyperlink" Target="https://begagroup.com.au/farm-services/milk-supply-agreements/" TargetMode="External"/><Relationship Id="rId38" Type="http://schemas.openxmlformats.org/officeDocument/2006/relationships/hyperlink" Target="https://dfmc.org.au/raw-milk-supply-2024-2025/" TargetMode="External"/><Relationship Id="rId59" Type="http://schemas.openxmlformats.org/officeDocument/2006/relationships/hyperlink" Target="https://www.kyvalleydairy.com.au/milk-supply-agreements" TargetMode="External"/><Relationship Id="rId103" Type="http://schemas.openxmlformats.org/officeDocument/2006/relationships/hyperlink" Target="https://adfc.com.au/milk-supply/" TargetMode="External"/><Relationship Id="rId124" Type="http://schemas.openxmlformats.org/officeDocument/2006/relationships/hyperlink" Target="https://lactalis.com.au/milk-supply-agreement-2022-2023/" TargetMode="External"/><Relationship Id="rId70" Type="http://schemas.openxmlformats.org/officeDocument/2006/relationships/hyperlink" Target="https://gvcreamery.com/farmers" TargetMode="External"/><Relationship Id="rId91" Type="http://schemas.openxmlformats.org/officeDocument/2006/relationships/hyperlink" Target="https://www.riverinafresh.com.au/farmers/" TargetMode="External"/><Relationship Id="rId145" Type="http://schemas.openxmlformats.org/officeDocument/2006/relationships/hyperlink" Target="https://suppliercentral.coles.com.au/s/article/Dairy-Farmers" TargetMode="External"/><Relationship Id="rId166" Type="http://schemas.openxmlformats.org/officeDocument/2006/relationships/hyperlink" Target="https://dfmc.org.au/raw-milk-supply-2024-2025/" TargetMode="External"/><Relationship Id="rId187" Type="http://schemas.openxmlformats.org/officeDocument/2006/relationships/hyperlink" Target="https://www.saputodairyaustralia.com.au/en/milk-supply" TargetMode="External"/><Relationship Id="rId1" Type="http://schemas.openxmlformats.org/officeDocument/2006/relationships/hyperlink" Target="https://www.lacasa.com.au/our-farm-partners/" TargetMode="External"/><Relationship Id="rId212" Type="http://schemas.openxmlformats.org/officeDocument/2006/relationships/hyperlink" Target="https://dfmc.org.au/raw-milk-supply-2024-2025/" TargetMode="External"/><Relationship Id="rId233" Type="http://schemas.openxmlformats.org/officeDocument/2006/relationships/printerSettings" Target="../printerSettings/printerSettings2.bin"/><Relationship Id="rId28" Type="http://schemas.openxmlformats.org/officeDocument/2006/relationships/hyperlink" Target="https://lactalis.com.au/milk-supply-agreement-2022-2023/" TargetMode="External"/><Relationship Id="rId49" Type="http://schemas.openxmlformats.org/officeDocument/2006/relationships/hyperlink" Target="https://www.mondelezinternational.com/australia/procurement/" TargetMode="External"/><Relationship Id="rId114" Type="http://schemas.openxmlformats.org/officeDocument/2006/relationships/hyperlink" Target="https://www.aufarmsource.com.au/pricing" TargetMode="External"/><Relationship Id="rId60" Type="http://schemas.openxmlformats.org/officeDocument/2006/relationships/hyperlink" Target="https://www.riverinafresh.com.au/farmers/" TargetMode="External"/><Relationship Id="rId81" Type="http://schemas.openxmlformats.org/officeDocument/2006/relationships/hyperlink" Target="https://lactalis.com.au/milk-supply-agreement-2022-2023/" TargetMode="External"/><Relationship Id="rId135" Type="http://schemas.openxmlformats.org/officeDocument/2006/relationships/hyperlink" Target="https://www.saputodairyaustralia.com.au/en/milk-supply" TargetMode="External"/><Relationship Id="rId156" Type="http://schemas.openxmlformats.org/officeDocument/2006/relationships/hyperlink" Target="https://begagroup.com.au/farm-services/milk-supply-agreements/" TargetMode="External"/><Relationship Id="rId177" Type="http://schemas.openxmlformats.org/officeDocument/2006/relationships/hyperlink" Target="https://www.aufarmsource.com.au/pricing" TargetMode="External"/><Relationship Id="rId198" Type="http://schemas.openxmlformats.org/officeDocument/2006/relationships/hyperlink" Target="https://www.saputodairyaustralia.com.au/en/milk-supply" TargetMode="External"/><Relationship Id="rId202" Type="http://schemas.openxmlformats.org/officeDocument/2006/relationships/hyperlink" Target="https://frestine.com/milk_suppliers/" TargetMode="External"/><Relationship Id="rId223" Type="http://schemas.openxmlformats.org/officeDocument/2006/relationships/hyperlink" Target="https://begagroup.com.au/farm-services/milk-supply-agreements/" TargetMode="External"/><Relationship Id="rId18" Type="http://schemas.openxmlformats.org/officeDocument/2006/relationships/hyperlink" Target="https://begagroup.com.au/farm-services/milk-supply-agreements/" TargetMode="External"/><Relationship Id="rId39" Type="http://schemas.openxmlformats.org/officeDocument/2006/relationships/hyperlink" Target="https://dfmc.org.au/raw-milk-supply-2024-2025/" TargetMode="External"/><Relationship Id="rId50" Type="http://schemas.openxmlformats.org/officeDocument/2006/relationships/hyperlink" Target="https://adfc.com.au/milk-supply/" TargetMode="External"/><Relationship Id="rId104" Type="http://schemas.openxmlformats.org/officeDocument/2006/relationships/hyperlink" Target="https://adfc.com.au/milk-supply/" TargetMode="External"/><Relationship Id="rId125" Type="http://schemas.openxmlformats.org/officeDocument/2006/relationships/hyperlink" Target="https://lactalis.com.au/milk-supply-agreement-2022-2023/" TargetMode="External"/><Relationship Id="rId146" Type="http://schemas.openxmlformats.org/officeDocument/2006/relationships/hyperlink" Target="https://suppliercentral.coles.com.au/s/article/Dairy-Farmers" TargetMode="External"/><Relationship Id="rId167" Type="http://schemas.openxmlformats.org/officeDocument/2006/relationships/hyperlink" Target="https://dfmc.org.au/raw-milk-supply-2024-2025/" TargetMode="External"/><Relationship Id="rId188" Type="http://schemas.openxmlformats.org/officeDocument/2006/relationships/hyperlink" Target="https://www.saputodairyaustralia.com.au/en/milk-supply" TargetMode="External"/><Relationship Id="rId71" Type="http://schemas.openxmlformats.org/officeDocument/2006/relationships/hyperlink" Target="https://lactalis.com.au/milk-supply-agreement-2022-2023/" TargetMode="External"/><Relationship Id="rId92" Type="http://schemas.openxmlformats.org/officeDocument/2006/relationships/hyperlink" Target="https://www.norco.com.au/supply-milk-agreements-2024-2025.php" TargetMode="External"/><Relationship Id="rId213" Type="http://schemas.openxmlformats.org/officeDocument/2006/relationships/hyperlink" Target="https://dfmc.org.au/raw-milk-supply-2024-2025/" TargetMode="External"/><Relationship Id="rId234" Type="http://schemas.openxmlformats.org/officeDocument/2006/relationships/table" Target="../tables/table1.xml"/><Relationship Id="rId2" Type="http://schemas.openxmlformats.org/officeDocument/2006/relationships/hyperlink" Target="https://suppliercentral.coles.com.au/s/article/Dairy-Farmers" TargetMode="External"/><Relationship Id="rId29" Type="http://schemas.openxmlformats.org/officeDocument/2006/relationships/hyperlink" Target="https://lactalis.com.au/milk-supply-agreement-2022-2023/" TargetMode="External"/><Relationship Id="rId40" Type="http://schemas.openxmlformats.org/officeDocument/2006/relationships/hyperlink" Target="https://dfmc.org.au/raw-milk-supply-2024-2025/" TargetMode="External"/><Relationship Id="rId115" Type="http://schemas.openxmlformats.org/officeDocument/2006/relationships/hyperlink" Target="https://www.saputodairyaustralia.com.au/en/milk-supply" TargetMode="External"/><Relationship Id="rId136" Type="http://schemas.openxmlformats.org/officeDocument/2006/relationships/hyperlink" Target="https://www.saputodairyaustralia.com.au/en/milk-supply" TargetMode="External"/><Relationship Id="rId157" Type="http://schemas.openxmlformats.org/officeDocument/2006/relationships/hyperlink" Target="https://begagroup.com.au/farm-services/milk-supply-agreements/" TargetMode="External"/><Relationship Id="rId178" Type="http://schemas.openxmlformats.org/officeDocument/2006/relationships/hyperlink" Target="https://www.aufarmsource.com.au/pricing" TargetMode="External"/><Relationship Id="rId61" Type="http://schemas.openxmlformats.org/officeDocument/2006/relationships/hyperlink" Target="https://www.riverinafresh.com.au/farmers/" TargetMode="External"/><Relationship Id="rId82" Type="http://schemas.openxmlformats.org/officeDocument/2006/relationships/hyperlink" Target="https://begagroup.com.au/farm-services/milk-supply-agreements/" TargetMode="External"/><Relationship Id="rId199" Type="http://schemas.openxmlformats.org/officeDocument/2006/relationships/hyperlink" Target="https://www.saputodairyaustralia.com.au/en/milk-supply" TargetMode="External"/><Relationship Id="rId203" Type="http://schemas.openxmlformats.org/officeDocument/2006/relationships/hyperlink" Target="https://www.aufarmsource.com.au/pricing" TargetMode="External"/><Relationship Id="rId19" Type="http://schemas.openxmlformats.org/officeDocument/2006/relationships/hyperlink" Target="https://begagroup.com.au/farm-services/milk-supply-agreements/" TargetMode="External"/><Relationship Id="rId224" Type="http://schemas.openxmlformats.org/officeDocument/2006/relationships/hyperlink" Target="https://begagroup.com.au/farm-services/milk-supply-agreements/" TargetMode="External"/><Relationship Id="rId30" Type="http://schemas.openxmlformats.org/officeDocument/2006/relationships/hyperlink" Target="https://lactalis.com.au/milk-supply-agreement-2022-2023/" TargetMode="External"/><Relationship Id="rId105" Type="http://schemas.openxmlformats.org/officeDocument/2006/relationships/hyperlink" Target="https://www.mondelezinternational.com/australia/procurement/" TargetMode="External"/><Relationship Id="rId126" Type="http://schemas.openxmlformats.org/officeDocument/2006/relationships/hyperlink" Target="https://lactalis.com.au/milk-supply-agreement-2022-2023/" TargetMode="External"/><Relationship Id="rId147" Type="http://schemas.openxmlformats.org/officeDocument/2006/relationships/hyperlink" Target="https://suppliercentral.coles.com.au/s/article/Dairy-Farmers" TargetMode="External"/><Relationship Id="rId168" Type="http://schemas.openxmlformats.org/officeDocument/2006/relationships/hyperlink" Target="https://dfmc.org.au/raw-milk-supply-2024-2025/" TargetMode="External"/><Relationship Id="rId51" Type="http://schemas.openxmlformats.org/officeDocument/2006/relationships/hyperlink" Target="https://adfc.com.au/milk-supply/" TargetMode="External"/><Relationship Id="rId72" Type="http://schemas.openxmlformats.org/officeDocument/2006/relationships/hyperlink" Target="https://www.australianconsolidatedmilk.com.au/suppliers" TargetMode="External"/><Relationship Id="rId93" Type="http://schemas.openxmlformats.org/officeDocument/2006/relationships/hyperlink" Target="https://www.norco.com.au/supply-milk-agreements-2024-2025.php" TargetMode="External"/><Relationship Id="rId189" Type="http://schemas.openxmlformats.org/officeDocument/2006/relationships/hyperlink" Target="https://udcmilk.com.au/raw-milk-supply/milk-supply-agreement-2021-2022-copy-copy-copy/" TargetMode="External"/><Relationship Id="rId3" Type="http://schemas.openxmlformats.org/officeDocument/2006/relationships/hyperlink" Target="https://suppliercentral.coles.com.au/s/article/Dairy-Farmers" TargetMode="External"/><Relationship Id="rId214" Type="http://schemas.openxmlformats.org/officeDocument/2006/relationships/hyperlink" Target="https://dfmc.org.au/raw-milk-supply-2024-2025/" TargetMode="External"/><Relationship Id="rId116" Type="http://schemas.openxmlformats.org/officeDocument/2006/relationships/hyperlink" Target="https://www.aufarmsource.com.au/pricing" TargetMode="External"/><Relationship Id="rId137" Type="http://schemas.openxmlformats.org/officeDocument/2006/relationships/hyperlink" Target="https://www.saputodairyaustralia.com.au/en/milk-supply" TargetMode="External"/><Relationship Id="rId158" Type="http://schemas.openxmlformats.org/officeDocument/2006/relationships/hyperlink" Target="https://begagroup.com.au/farm-services/milk-supply-agreement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879D-0DA3-4B89-A2F5-4791B657CD91}">
  <dimension ref="B1:J54"/>
  <sheetViews>
    <sheetView zoomScale="90" zoomScaleNormal="90" workbookViewId="0">
      <selection activeCell="C2" sqref="C2"/>
    </sheetView>
  </sheetViews>
  <sheetFormatPr defaultRowHeight="15"/>
  <cols>
    <col min="1" max="1" width="3.5703125" customWidth="1"/>
    <col min="2" max="2" width="44.7109375" bestFit="1" customWidth="1"/>
    <col min="3" max="3" width="23.42578125" bestFit="1" customWidth="1"/>
    <col min="4" max="4" width="11" bestFit="1" customWidth="1"/>
    <col min="5" max="5" width="20.5703125" bestFit="1" customWidth="1"/>
    <col min="6" max="6" width="11.28515625" customWidth="1"/>
    <col min="7" max="7" width="51.28515625" bestFit="1" customWidth="1"/>
    <col min="8" max="8" width="2.7109375" customWidth="1"/>
    <col min="9" max="9" width="37.42578125" bestFit="1" customWidth="1"/>
    <col min="11" max="11" width="14.140625" customWidth="1"/>
    <col min="12" max="12" width="38.85546875" bestFit="1" customWidth="1"/>
    <col min="13" max="13" width="13.7109375" bestFit="1" customWidth="1"/>
    <col min="14" max="15" width="10.5703125" bestFit="1" customWidth="1"/>
    <col min="16" max="16" width="11.5703125" bestFit="1" customWidth="1"/>
  </cols>
  <sheetData>
    <row r="1" spans="2:10">
      <c r="B1" s="198" t="s">
        <v>0</v>
      </c>
    </row>
    <row r="2" spans="2:10">
      <c r="B2" s="188" t="s">
        <v>1</v>
      </c>
      <c r="C2" s="189" t="s">
        <v>2</v>
      </c>
      <c r="E2" s="188" t="s">
        <v>3</v>
      </c>
      <c r="F2" s="189" t="s">
        <v>4</v>
      </c>
      <c r="I2" s="8" t="s">
        <v>5</v>
      </c>
      <c r="J2" s="1"/>
    </row>
    <row r="3" spans="2:10">
      <c r="I3" s="5" t="s">
        <v>6</v>
      </c>
    </row>
    <row r="4" spans="2:10" ht="30.75">
      <c r="B4" s="190" t="s">
        <v>7</v>
      </c>
      <c r="C4" s="191" t="s">
        <v>8</v>
      </c>
      <c r="D4" s="190" t="s">
        <v>9</v>
      </c>
      <c r="E4" s="191" t="s">
        <v>10</v>
      </c>
      <c r="F4" s="190" t="s">
        <v>11</v>
      </c>
      <c r="I4" s="6" t="s">
        <v>12</v>
      </c>
    </row>
    <row r="5" spans="2:10">
      <c r="B5" s="185" t="s">
        <v>13</v>
      </c>
      <c r="C5" s="186">
        <v>100000</v>
      </c>
      <c r="D5" s="187">
        <v>4</v>
      </c>
      <c r="E5" s="187">
        <v>3.2</v>
      </c>
      <c r="F5" s="192">
        <f>C5*(D5*0.01+E5*0.01)</f>
        <v>7200.0000000000009</v>
      </c>
      <c r="I5" s="21" t="s">
        <v>14</v>
      </c>
    </row>
    <row r="6" spans="2:10">
      <c r="B6" s="185" t="s">
        <v>15</v>
      </c>
      <c r="C6" s="186">
        <v>100000</v>
      </c>
      <c r="D6" s="187">
        <v>4</v>
      </c>
      <c r="E6" s="187">
        <v>3.2</v>
      </c>
      <c r="F6" s="192">
        <f>C6*(D6*0.01+E6*0.01)</f>
        <v>7200.0000000000009</v>
      </c>
    </row>
    <row r="7" spans="2:10">
      <c r="B7" s="185" t="s">
        <v>16</v>
      </c>
      <c r="C7" s="186">
        <v>100000</v>
      </c>
      <c r="D7" s="187">
        <v>4</v>
      </c>
      <c r="E7" s="187">
        <v>3.2</v>
      </c>
      <c r="F7" s="192">
        <f>C7*(D7*0.01+E7*0.01)</f>
        <v>7200.0000000000009</v>
      </c>
    </row>
    <row r="8" spans="2:10">
      <c r="B8" s="185" t="s">
        <v>17</v>
      </c>
      <c r="C8" s="186">
        <v>100000</v>
      </c>
      <c r="D8" s="187">
        <v>4</v>
      </c>
      <c r="E8" s="187">
        <v>3.2</v>
      </c>
      <c r="F8" s="192">
        <f>C8*(D8*0.01+E8*0.01)</f>
        <v>7200.0000000000009</v>
      </c>
    </row>
    <row r="9" spans="2:10">
      <c r="B9" s="185" t="s">
        <v>18</v>
      </c>
      <c r="C9" s="186">
        <v>100000</v>
      </c>
      <c r="D9" s="187">
        <v>4</v>
      </c>
      <c r="E9" s="187">
        <v>3.2</v>
      </c>
      <c r="F9" s="192">
        <f>C9*(D9*0.01+E9*0.01)</f>
        <v>7200.0000000000009</v>
      </c>
    </row>
    <row r="10" spans="2:10">
      <c r="B10" s="185" t="s">
        <v>19</v>
      </c>
      <c r="C10" s="186">
        <v>100000</v>
      </c>
      <c r="D10" s="187">
        <v>4</v>
      </c>
      <c r="E10" s="187">
        <v>3.2</v>
      </c>
      <c r="F10" s="192">
        <f>C10*(D10*0.01+E10*0.01)</f>
        <v>7200.0000000000009</v>
      </c>
    </row>
    <row r="11" spans="2:10">
      <c r="B11" s="185" t="s">
        <v>20</v>
      </c>
      <c r="C11" s="186">
        <v>100000</v>
      </c>
      <c r="D11" s="187">
        <v>4</v>
      </c>
      <c r="E11" s="187">
        <v>3.2</v>
      </c>
      <c r="F11" s="192">
        <f>C11*(D11*0.01+E11*0.01)</f>
        <v>7200.0000000000009</v>
      </c>
    </row>
    <row r="12" spans="2:10">
      <c r="B12" s="185" t="s">
        <v>21</v>
      </c>
      <c r="C12" s="186">
        <v>100000</v>
      </c>
      <c r="D12" s="187">
        <v>4</v>
      </c>
      <c r="E12" s="187">
        <v>3.2</v>
      </c>
      <c r="F12" s="192">
        <f>C12*(D12*0.01+E12*0.01)</f>
        <v>7200.0000000000009</v>
      </c>
    </row>
    <row r="13" spans="2:10">
      <c r="B13" s="185" t="s">
        <v>22</v>
      </c>
      <c r="C13" s="186">
        <v>100000</v>
      </c>
      <c r="D13" s="187">
        <v>4</v>
      </c>
      <c r="E13" s="187">
        <v>3.2</v>
      </c>
      <c r="F13" s="192">
        <f>C13*(D13*0.01+E13*0.01)</f>
        <v>7200.0000000000009</v>
      </c>
    </row>
    <row r="14" spans="2:10">
      <c r="B14" s="185" t="s">
        <v>23</v>
      </c>
      <c r="C14" s="186">
        <v>100000</v>
      </c>
      <c r="D14" s="187">
        <v>4</v>
      </c>
      <c r="E14" s="187">
        <v>3.2</v>
      </c>
      <c r="F14" s="192">
        <f>C14*(D14*0.01+E14*0.01)</f>
        <v>7200.0000000000009</v>
      </c>
    </row>
    <row r="15" spans="2:10">
      <c r="B15" s="185" t="s">
        <v>24</v>
      </c>
      <c r="C15" s="186">
        <v>100000</v>
      </c>
      <c r="D15" s="187">
        <v>4</v>
      </c>
      <c r="E15" s="187">
        <v>3.2</v>
      </c>
      <c r="F15" s="192">
        <f>C15*(D15*0.01+E15*0.01)</f>
        <v>7200.0000000000009</v>
      </c>
    </row>
    <row r="16" spans="2:10">
      <c r="B16" s="185" t="s">
        <v>25</v>
      </c>
      <c r="C16" s="186">
        <v>100000</v>
      </c>
      <c r="D16" s="187">
        <v>4</v>
      </c>
      <c r="E16" s="187">
        <v>3.2</v>
      </c>
      <c r="F16" s="192">
        <f>C16*(D16*0.01+E16*0.01)</f>
        <v>7200.0000000000009</v>
      </c>
    </row>
    <row r="17" spans="2:7">
      <c r="B17" s="185"/>
      <c r="C17" s="184"/>
      <c r="D17" s="185"/>
      <c r="E17" s="185"/>
      <c r="F17" s="184"/>
    </row>
    <row r="18" spans="2:7">
      <c r="B18" s="193" t="s">
        <v>26</v>
      </c>
      <c r="C18" s="192">
        <f>SUM(C5:C16)</f>
        <v>1200000</v>
      </c>
      <c r="D18" s="185"/>
      <c r="E18" s="185"/>
      <c r="F18" s="192">
        <f>SUM(F5:F16)</f>
        <v>86400.000000000015</v>
      </c>
    </row>
    <row r="19" spans="2:7">
      <c r="B19" s="194"/>
      <c r="C19" s="194"/>
      <c r="D19" s="194"/>
      <c r="E19" s="194"/>
      <c r="F19" s="194"/>
      <c r="G19" s="194"/>
    </row>
    <row r="20" spans="2:7" ht="18.75">
      <c r="B20" s="195" t="s">
        <v>27</v>
      </c>
      <c r="C20" s="199" t="s">
        <v>28</v>
      </c>
      <c r="D20" s="203" t="s">
        <v>29</v>
      </c>
      <c r="E20" s="203"/>
      <c r="F20" s="203" t="s">
        <v>30</v>
      </c>
      <c r="G20" s="203"/>
    </row>
    <row r="21" spans="2:7">
      <c r="B21" s="196" t="str" cm="1">
        <f t="array" ref="B21:B41">IF(OR(F2="All"),_xlfn._xlws.FILTER(TABLE[Processor],(TABLE[Region]=C2)),_xlfn._xlws.FILTER(TABLE[Processor],(TABLE[Region]=C2)*(TABLE[MPS]=F2),"None Available - Adjust Region and Milk Payment System"))</f>
        <v>ACM (Vic North)</v>
      </c>
      <c r="C21" s="200">
        <f>VLOOKUP(B21,TABLE[],3,FALSE)</f>
        <v>0.56486000000000003</v>
      </c>
      <c r="D21" s="202">
        <f>VLOOKUP(B21,TABLE[],4,FALSE)</f>
        <v>7.8452777777777767</v>
      </c>
      <c r="E21" s="202"/>
      <c r="F21" s="201" t="str">
        <f>HYPERLINK(VLOOKUP(B21,TABLE[],5,FALSE))</f>
        <v>https://www.australianconsolidatedmilk.com.au/suppliers</v>
      </c>
      <c r="G21" s="201"/>
    </row>
    <row r="22" spans="2:7">
      <c r="B22" s="196" t="str">
        <v>ADFC (Vic North)</v>
      </c>
      <c r="C22" s="200">
        <f>VLOOKUP(B22,TABLE[],3,FALSE)</f>
        <v>0.59048</v>
      </c>
      <c r="D22" s="202">
        <f>VLOOKUP(B22,TABLE[],4,FALSE)</f>
        <v>8.2011111111111106</v>
      </c>
      <c r="E22" s="202"/>
      <c r="F22" s="201" t="str">
        <f>HYPERLINK(VLOOKUP(B22,TABLE[],5,FALSE))</f>
        <v>https://adfc.com.au/milk-supply/</v>
      </c>
      <c r="G22" s="201"/>
    </row>
    <row r="23" spans="2:7">
      <c r="B23" s="196" t="str">
        <v>Bega (Vic North) [Flat 1:1]</v>
      </c>
      <c r="C23" s="200">
        <f>VLOOKUP(B23,TABLE[],3,FALSE)</f>
        <v>0.57240000000000002</v>
      </c>
      <c r="D23" s="202">
        <f>VLOOKUP(B23,TABLE[],4,FALSE)</f>
        <v>7.9499999999999984</v>
      </c>
      <c r="E23" s="202"/>
      <c r="F23" s="201" t="str">
        <f>HYPERLINK(VLOOKUP(B23,TABLE[],5,FALSE))</f>
        <v>https://begagroup.com.au/farm-services/milk-supply-agreements/</v>
      </c>
      <c r="G23" s="201"/>
    </row>
    <row r="24" spans="2:7">
      <c r="B24" s="196" t="str">
        <v>Bega (Vic North) [Flat 1:2]</v>
      </c>
      <c r="C24" s="200">
        <f>VLOOKUP(B24,TABLE[],3,FALSE)</f>
        <v>0.57033599999999984</v>
      </c>
      <c r="D24" s="202">
        <f>VLOOKUP(B24,TABLE[],4,FALSE)</f>
        <v>7.9213333333333305</v>
      </c>
      <c r="E24" s="202"/>
      <c r="F24" s="201" t="str">
        <f>HYPERLINK(VLOOKUP(B24,TABLE[],5,FALSE))</f>
        <v>https://begagroup.com.au/farm-services/milk-supply-agreements/</v>
      </c>
      <c r="G24" s="201"/>
    </row>
    <row r="25" spans="2:7">
      <c r="B25" s="196" t="str">
        <v>Bega (Vic North) [MPS 9/3]</v>
      </c>
      <c r="C25" s="200">
        <f>VLOOKUP(B25,TABLE[],3,FALSE)</f>
        <v>0.55400800000000006</v>
      </c>
      <c r="D25" s="202">
        <f>VLOOKUP(B25,TABLE[],4,FALSE)</f>
        <v>7.6945555555555556</v>
      </c>
      <c r="E25" s="202"/>
      <c r="F25" s="201" t="str">
        <f>HYPERLINK(VLOOKUP(B25,TABLE[],5,FALSE))</f>
        <v>https://begagroup.com.au/farm-services/milk-supply-agreements/</v>
      </c>
      <c r="G25" s="201"/>
    </row>
    <row r="26" spans="2:7">
      <c r="B26" s="196" t="str">
        <v>Bulla (Vic North &amp; Riverina) [1:1]</v>
      </c>
      <c r="C26" s="200">
        <f>VLOOKUP(B26,TABLE[],3,FALSE)</f>
        <v>0.62280000000000013</v>
      </c>
      <c r="D26" s="202">
        <f>VLOOKUP(B26,TABLE[],4,FALSE)</f>
        <v>8.65</v>
      </c>
      <c r="E26" s="202"/>
      <c r="F26" s="201" t="str">
        <f>HYPERLINK(VLOOKUP(B26,TABLE[],5,FALSE))</f>
        <v>https://www.bulla.com.au/farmers/resources/</v>
      </c>
      <c r="G26" s="201"/>
    </row>
    <row r="27" spans="2:7">
      <c r="B27" s="196" t="str">
        <v>Bulla (Vic North &amp; Riverina) [1:2]</v>
      </c>
      <c r="C27" s="200">
        <f>VLOOKUP(B27,TABLE[],3,FALSE)</f>
        <v>0.62278400000000012</v>
      </c>
      <c r="D27" s="202">
        <f>VLOOKUP(B27,TABLE[],4,FALSE)</f>
        <v>8.6497777777777785</v>
      </c>
      <c r="E27" s="202"/>
      <c r="F27" s="201" t="str">
        <f>HYPERLINK(VLOOKUP(B27,TABLE[],5,FALSE))</f>
        <v>https://www.bulla.com.au/farmers/resources/</v>
      </c>
      <c r="G27" s="201"/>
    </row>
    <row r="28" spans="2:7">
      <c r="B28" s="196" t="str">
        <v>Coles (Vic North)</v>
      </c>
      <c r="C28" s="200">
        <f>VLOOKUP(B28,TABLE[],3,FALSE)</f>
        <v>0.715445</v>
      </c>
      <c r="D28" s="202">
        <f>VLOOKUP(B28,TABLE[],4,FALSE)</f>
        <v>9.9367361111111094</v>
      </c>
      <c r="E28" s="202"/>
      <c r="F28" s="201" t="str">
        <f>HYPERLINK(VLOOKUP(B28,TABLE[],5,FALSE))</f>
        <v>https://suppliercentral.coles.com.au/s/article/Dairy-Farmers</v>
      </c>
      <c r="G28" s="201"/>
    </row>
    <row r="29" spans="2:7">
      <c r="B29" s="196" t="str">
        <v>DFMC (Vic North) [9/3]</v>
      </c>
      <c r="C29" s="200">
        <f>VLOOKUP(B29,TABLE[],3,FALSE)</f>
        <v>0.5427519999999999</v>
      </c>
      <c r="D29" s="202">
        <f>VLOOKUP(B29,TABLE[],4,FALSE)</f>
        <v>7.5382222222222195</v>
      </c>
      <c r="E29" s="202"/>
      <c r="F29" s="201" t="str">
        <f>HYPERLINK(VLOOKUP(B29,TABLE[],5,FALSE))</f>
        <v>https://dfmc.org.au/raw-milk-supply-2024-2025/#victoria</v>
      </c>
      <c r="G29" s="201"/>
    </row>
    <row r="30" spans="2:7">
      <c r="B30" s="196" t="str">
        <v>DFMC (Vic North) [Flat]</v>
      </c>
      <c r="C30" s="200">
        <f>VLOOKUP(B30,TABLE[],3,FALSE)</f>
        <v>0.55190400000000017</v>
      </c>
      <c r="D30" s="202">
        <f>VLOOKUP(B30,TABLE[],4,FALSE)</f>
        <v>7.6653333333333338</v>
      </c>
      <c r="E30" s="202"/>
      <c r="F30" s="201" t="str">
        <f>HYPERLINK(VLOOKUP(B30,TABLE[],5,FALSE))</f>
        <v>https://dfmc.org.au/raw-milk-supply-2024-2025/#victoria</v>
      </c>
      <c r="G30" s="201"/>
    </row>
    <row r="31" spans="2:7">
      <c r="B31" s="196" t="str">
        <v>DFMC (Vic North) [Traditional]</v>
      </c>
      <c r="C31" s="200">
        <f>VLOOKUP(B31,TABLE[],3,FALSE)</f>
        <v>0.54764266666666672</v>
      </c>
      <c r="D31" s="202">
        <f>VLOOKUP(B31,TABLE[],4,FALSE)</f>
        <v>7.6061481481481481</v>
      </c>
      <c r="E31" s="202"/>
      <c r="F31" s="201" t="str">
        <f>HYPERLINK(VLOOKUP(B31,TABLE[],5,FALSE))</f>
        <v>https://dfmc.org.au/raw-milk-supply-2024-2025/#victoria</v>
      </c>
      <c r="G31" s="201"/>
    </row>
    <row r="32" spans="2:7">
      <c r="B32" s="196" t="str">
        <v>Fonterra (Vic North &amp; Riverina) [7/5]</v>
      </c>
      <c r="C32" s="200">
        <f>VLOOKUP(B32,TABLE[],3,FALSE)</f>
        <v>0.59734933333333318</v>
      </c>
      <c r="D32" s="202">
        <f>VLOOKUP(B32,TABLE[],4,FALSE)</f>
        <v>8.296518518518516</v>
      </c>
      <c r="E32" s="202"/>
      <c r="F32" s="201" t="str">
        <f>HYPERLINK(VLOOKUP(B32,TABLE[],5,FALSE))</f>
        <v>https://www.aufarmsource.com.au/pricing</v>
      </c>
      <c r="G32" s="201"/>
    </row>
    <row r="33" spans="2:7">
      <c r="B33" s="196" t="str">
        <v>Fonterra (Vic North &amp; Riverina) [8/4]</v>
      </c>
      <c r="C33" s="200">
        <f>VLOOKUP(B33,TABLE[],3,FALSE)</f>
        <v>0.59441599999999983</v>
      </c>
      <c r="D33" s="202">
        <f>VLOOKUP(B33,TABLE[],4,FALSE)</f>
        <v>8.2557777777777748</v>
      </c>
      <c r="E33" s="202"/>
      <c r="F33" s="201" t="str">
        <f>HYPERLINK(VLOOKUP(B33,TABLE[],5,FALSE))</f>
        <v>https://www.aufarmsource.com.au/pricing</v>
      </c>
      <c r="G33" s="201"/>
    </row>
    <row r="34" spans="2:7">
      <c r="B34" s="196" t="str">
        <v>Frestine (Vic North) [1:1]</v>
      </c>
      <c r="C34" s="200">
        <f>VLOOKUP(B34,TABLE[],3,FALSE)</f>
        <v>0.57600000000000007</v>
      </c>
      <c r="D34" s="202">
        <f>VLOOKUP(B34,TABLE[],4,FALSE)</f>
        <v>8</v>
      </c>
      <c r="E34" s="202"/>
      <c r="F34" s="201" t="str">
        <f>HYPERLINK(VLOOKUP(B34,TABLE[],5,FALSE))</f>
        <v>https://frestine.com/milk_suppliers/</v>
      </c>
      <c r="G34" s="201"/>
    </row>
    <row r="35" spans="2:7">
      <c r="B35" s="196" t="str">
        <v>Frestine (Vic North) [1:2]</v>
      </c>
      <c r="C35" s="200">
        <f>VLOOKUP(B35,TABLE[],3,FALSE)</f>
        <v>0.57616000000000001</v>
      </c>
      <c r="D35" s="202">
        <f>VLOOKUP(B35,TABLE[],4,FALSE)</f>
        <v>8.0022222222222208</v>
      </c>
      <c r="E35" s="202"/>
      <c r="F35" s="201" t="str">
        <f>HYPERLINK(VLOOKUP(B35,TABLE[],5,FALSE))</f>
        <v>https://frestine.com/milk_suppliers/</v>
      </c>
      <c r="G35" s="201"/>
    </row>
    <row r="36" spans="2:7">
      <c r="B36" s="196" t="str">
        <v>GVC (Vic North)</v>
      </c>
      <c r="C36" s="200">
        <f>VLOOKUP(B36,TABLE[],3,FALSE)</f>
        <v>0.62644</v>
      </c>
      <c r="D36" s="202">
        <f>VLOOKUP(B36,TABLE[],4,FALSE)</f>
        <v>8.7005555555555549</v>
      </c>
      <c r="E36" s="202"/>
      <c r="F36" s="201" t="str">
        <f>HYPERLINK(VLOOKUP(B36,TABLE[],5,FALSE))</f>
        <v>https://gvcreamery.com/farmers</v>
      </c>
      <c r="G36" s="201"/>
    </row>
    <row r="37" spans="2:7">
      <c r="B37" s="196" t="str">
        <v>KY Valley (Vic North)</v>
      </c>
      <c r="C37" s="200">
        <f>VLOOKUP(B37,TABLE[],3,FALSE)</f>
        <v>0.72266666666666668</v>
      </c>
      <c r="D37" s="202">
        <f>VLOOKUP(B37,TABLE[],4,FALSE)</f>
        <v>10.037037037037035</v>
      </c>
      <c r="E37" s="202"/>
      <c r="F37" s="201" t="str">
        <f>HYPERLINK(VLOOKUP(B37,TABLE[],5,FALSE))</f>
        <v>https://www.kyvalleydairy.com.au/milk-supply-agreements</v>
      </c>
      <c r="G37" s="201"/>
    </row>
    <row r="38" spans="2:7">
      <c r="B38" s="196" t="str">
        <v>Lactalis (Vic, Tas, and Riverina)</v>
      </c>
      <c r="C38" s="200">
        <f>VLOOKUP(B38,TABLE[],3,FALSE)</f>
        <v>0.64659999999999995</v>
      </c>
      <c r="D38" s="202">
        <f>VLOOKUP(B38,TABLE[],4,FALSE)</f>
        <v>8.9805555555555543</v>
      </c>
      <c r="E38" s="202"/>
      <c r="F38" s="201" t="str">
        <f>HYPERLINK(VLOOKUP(B38,TABLE[],5,FALSE))</f>
        <v>https://lactalis.com.au/milk-supply-agreement-2022-2023/</v>
      </c>
      <c r="G38" s="201"/>
    </row>
    <row r="39" spans="2:7">
      <c r="B39" s="196" t="str">
        <v>Noumi (Vic North)</v>
      </c>
      <c r="C39" s="200">
        <f>VLOOKUP(B39,TABLE[],3,FALSE)</f>
        <v>0.58311999999999997</v>
      </c>
      <c r="D39" s="202">
        <f>VLOOKUP(B39,TABLE[],4,FALSE)</f>
        <v>8.0988888888888884</v>
      </c>
      <c r="E39" s="202"/>
      <c r="F39" s="201" t="str">
        <f>HYPERLINK(VLOOKUP(B39,TABLE[],5,FALSE))</f>
        <v>https://noumi.com.au/milk-suppliers/</v>
      </c>
      <c r="G39" s="201"/>
    </row>
    <row r="40" spans="2:7">
      <c r="B40" s="196" t="str">
        <v>Riverina Fresh (Vic North)</v>
      </c>
      <c r="C40" s="200">
        <f>VLOOKUP(B40,TABLE[],3,FALSE)</f>
        <v>0.54673023333333326</v>
      </c>
      <c r="D40" s="202">
        <f>VLOOKUP(B40,TABLE[],4,FALSE)</f>
        <v>7.5934754629629611</v>
      </c>
      <c r="E40" s="202"/>
      <c r="F40" s="201" t="str">
        <f>HYPERLINK(VLOOKUP(B40,TABLE[],5,FALSE))</f>
        <v>https://www.riverinafresh.com.au/farmers/</v>
      </c>
      <c r="G40" s="201"/>
    </row>
    <row r="41" spans="2:7">
      <c r="B41" s="196" t="str">
        <v>Saputo (Vic North) [7/5]</v>
      </c>
      <c r="C41" s="200">
        <f>VLOOKUP(B41,TABLE[],3,FALSE)</f>
        <v>0.59392666666666671</v>
      </c>
      <c r="D41" s="202">
        <f>VLOOKUP(B41,TABLE[],4,FALSE)</f>
        <v>8.2489814814814792</v>
      </c>
      <c r="E41" s="202"/>
      <c r="F41" s="201" t="str">
        <f>HYPERLINK(VLOOKUP(B41,TABLE[],5,FALSE))</f>
        <v>https://www.saputodairyaustralia.com.au/en/milk-supply#SupplierHandbook</v>
      </c>
      <c r="G41" s="201"/>
    </row>
    <row r="42" spans="2:7">
      <c r="B42" s="194"/>
      <c r="C42" s="197"/>
      <c r="D42" s="194"/>
      <c r="E42" s="194"/>
      <c r="F42" s="194"/>
      <c r="G42" s="194"/>
    </row>
    <row r="54" spans="2:2">
      <c r="B54" s="118"/>
    </row>
  </sheetData>
  <sheetProtection formatCells="0" sort="0" autoFilter="0" pivotTables="0"/>
  <protectedRanges>
    <protectedRange sqref="C2 F2" name="Region"/>
    <protectedRange sqref="C5:C16" name="Litres"/>
    <protectedRange sqref="D5:D16" name="Butterfat"/>
    <protectedRange sqref="E5:E16" name="Protein"/>
  </protectedRanges>
  <mergeCells count="44">
    <mergeCell ref="D20:E20"/>
    <mergeCell ref="D21:E21"/>
    <mergeCell ref="D22:E22"/>
    <mergeCell ref="D23:E23"/>
    <mergeCell ref="F20:G20"/>
    <mergeCell ref="F21:G21"/>
    <mergeCell ref="F22:G22"/>
    <mergeCell ref="F23:G23"/>
    <mergeCell ref="D24:E24"/>
    <mergeCell ref="D25:E25"/>
    <mergeCell ref="D26:E26"/>
    <mergeCell ref="D27:E27"/>
    <mergeCell ref="D28:E28"/>
    <mergeCell ref="D40:E40"/>
    <mergeCell ref="D41:E41"/>
    <mergeCell ref="D30:E30"/>
    <mergeCell ref="D31:E31"/>
    <mergeCell ref="D32:E32"/>
    <mergeCell ref="D33:E33"/>
    <mergeCell ref="D34:E34"/>
    <mergeCell ref="D35:E35"/>
    <mergeCell ref="F29:G29"/>
    <mergeCell ref="D36:E36"/>
    <mergeCell ref="D37:E37"/>
    <mergeCell ref="D38:E38"/>
    <mergeCell ref="D39:E39"/>
    <mergeCell ref="D29:E29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ED3A55-02FE-4E03-BD0F-C71E3B50F92F}">
          <x14:formula1>
            <xm:f>'Tabled Data'!$G$3:$G$120</xm:f>
          </x14:formula1>
          <xm:sqref>F2</xm:sqref>
        </x14:dataValidation>
        <x14:dataValidation type="list" allowBlank="1" showInputMessage="1" showErrorMessage="1" xr:uid="{9E723D70-B13B-46ED-991D-FD2331974307}">
          <x14:formula1>
            <xm:f>'Tabled Data'!$C$3:$C$121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816B-F908-4B89-90F1-218BB2F2EB27}">
  <dimension ref="B2:J54"/>
  <sheetViews>
    <sheetView topLeftCell="A9" zoomScale="90" zoomScaleNormal="90" workbookViewId="0">
      <selection activeCell="C2" sqref="C2"/>
    </sheetView>
  </sheetViews>
  <sheetFormatPr defaultRowHeight="15"/>
  <cols>
    <col min="1" max="1" width="3.5703125" customWidth="1"/>
    <col min="2" max="2" width="44.7109375" bestFit="1" customWidth="1"/>
    <col min="3" max="3" width="23.42578125" bestFit="1" customWidth="1"/>
    <col min="4" max="4" width="11" bestFit="1" customWidth="1"/>
    <col min="5" max="5" width="28.42578125" bestFit="1" customWidth="1"/>
    <col min="6" max="6" width="11.28515625" customWidth="1"/>
    <col min="7" max="7" width="51.28515625" bestFit="1" customWidth="1"/>
    <col min="8" max="8" width="2.7109375" customWidth="1"/>
    <col min="9" max="9" width="37.42578125" bestFit="1" customWidth="1"/>
    <col min="11" max="11" width="14.140625" customWidth="1"/>
    <col min="12" max="12" width="38.85546875" bestFit="1" customWidth="1"/>
    <col min="13" max="13" width="13.7109375" bestFit="1" customWidth="1"/>
    <col min="14" max="15" width="10.5703125" bestFit="1" customWidth="1"/>
    <col min="16" max="16" width="11.5703125" bestFit="1" customWidth="1"/>
  </cols>
  <sheetData>
    <row r="2" spans="2:10">
      <c r="B2" s="176" t="s">
        <v>31</v>
      </c>
      <c r="C2" s="177" t="s">
        <v>32</v>
      </c>
      <c r="E2" s="176" t="s">
        <v>33</v>
      </c>
      <c r="F2" s="177" t="s">
        <v>4</v>
      </c>
      <c r="I2" s="8" t="s">
        <v>5</v>
      </c>
      <c r="J2" s="1"/>
    </row>
    <row r="3" spans="2:10">
      <c r="I3" s="5" t="s">
        <v>6</v>
      </c>
    </row>
    <row r="4" spans="2:10" ht="30.75">
      <c r="B4" s="167" t="s">
        <v>7</v>
      </c>
      <c r="C4" s="168" t="s">
        <v>8</v>
      </c>
      <c r="D4" s="168" t="s">
        <v>9</v>
      </c>
      <c r="E4" s="168" t="s">
        <v>10</v>
      </c>
      <c r="F4" s="169" t="s">
        <v>11</v>
      </c>
      <c r="I4" s="6" t="s">
        <v>12</v>
      </c>
    </row>
    <row r="5" spans="2:10">
      <c r="B5" s="170" t="s">
        <v>13</v>
      </c>
      <c r="C5" s="163">
        <v>100000</v>
      </c>
      <c r="D5" s="164">
        <v>4</v>
      </c>
      <c r="E5" s="164">
        <v>3.2</v>
      </c>
      <c r="F5" s="171">
        <f>C5*(D5*0.01+E5*0.01)</f>
        <v>7200.0000000000009</v>
      </c>
      <c r="I5" s="21" t="s">
        <v>14</v>
      </c>
    </row>
    <row r="6" spans="2:10">
      <c r="B6" s="172" t="s">
        <v>15</v>
      </c>
      <c r="C6" s="165">
        <v>100000</v>
      </c>
      <c r="D6" s="166">
        <v>4</v>
      </c>
      <c r="E6" s="166">
        <v>3.2</v>
      </c>
      <c r="F6" s="173">
        <f>C6*(D6*0.01+E6*0.01)</f>
        <v>7200.0000000000009</v>
      </c>
    </row>
    <row r="7" spans="2:10">
      <c r="B7" s="170" t="s">
        <v>16</v>
      </c>
      <c r="C7" s="163">
        <v>100000</v>
      </c>
      <c r="D7" s="164">
        <v>4</v>
      </c>
      <c r="E7" s="164">
        <v>3.2</v>
      </c>
      <c r="F7" s="171">
        <f>C7*(D7*0.01+E7*0.01)</f>
        <v>7200.0000000000009</v>
      </c>
    </row>
    <row r="8" spans="2:10">
      <c r="B8" s="172" t="s">
        <v>17</v>
      </c>
      <c r="C8" s="165">
        <v>100000</v>
      </c>
      <c r="D8" s="166">
        <v>4</v>
      </c>
      <c r="E8" s="166">
        <v>3.2</v>
      </c>
      <c r="F8" s="173">
        <f>C8*(D8*0.01+E8*0.01)</f>
        <v>7200.0000000000009</v>
      </c>
    </row>
    <row r="9" spans="2:10">
      <c r="B9" s="170" t="s">
        <v>18</v>
      </c>
      <c r="C9" s="163">
        <v>100000</v>
      </c>
      <c r="D9" s="164">
        <v>4</v>
      </c>
      <c r="E9" s="164">
        <v>3.2</v>
      </c>
      <c r="F9" s="171">
        <f>C9*(D9*0.01+E9*0.01)</f>
        <v>7200.0000000000009</v>
      </c>
    </row>
    <row r="10" spans="2:10">
      <c r="B10" s="172" t="s">
        <v>19</v>
      </c>
      <c r="C10" s="165">
        <v>100000</v>
      </c>
      <c r="D10" s="166">
        <v>4</v>
      </c>
      <c r="E10" s="166">
        <v>3.2</v>
      </c>
      <c r="F10" s="173">
        <f>C10*(D10*0.01+E10*0.01)</f>
        <v>7200.0000000000009</v>
      </c>
    </row>
    <row r="11" spans="2:10">
      <c r="B11" s="170" t="s">
        <v>20</v>
      </c>
      <c r="C11" s="163">
        <v>100000</v>
      </c>
      <c r="D11" s="164">
        <v>4</v>
      </c>
      <c r="E11" s="164">
        <v>3.2</v>
      </c>
      <c r="F11" s="171">
        <f>C11*(D11*0.01+E11*0.01)</f>
        <v>7200.0000000000009</v>
      </c>
    </row>
    <row r="12" spans="2:10">
      <c r="B12" s="172" t="s">
        <v>21</v>
      </c>
      <c r="C12" s="165">
        <v>100000</v>
      </c>
      <c r="D12" s="166">
        <v>4</v>
      </c>
      <c r="E12" s="166">
        <v>3.2</v>
      </c>
      <c r="F12" s="173">
        <f>C12*(D12*0.01+E12*0.01)</f>
        <v>7200.0000000000009</v>
      </c>
    </row>
    <row r="13" spans="2:10">
      <c r="B13" s="170" t="s">
        <v>22</v>
      </c>
      <c r="C13" s="163">
        <v>100000</v>
      </c>
      <c r="D13" s="164">
        <v>4</v>
      </c>
      <c r="E13" s="164">
        <v>3.2</v>
      </c>
      <c r="F13" s="171">
        <f>C13*(D13*0.01+E13*0.01)</f>
        <v>7200.0000000000009</v>
      </c>
    </row>
    <row r="14" spans="2:10">
      <c r="B14" s="172" t="s">
        <v>23</v>
      </c>
      <c r="C14" s="165">
        <v>100000</v>
      </c>
      <c r="D14" s="166">
        <v>4</v>
      </c>
      <c r="E14" s="166">
        <v>3.2</v>
      </c>
      <c r="F14" s="173">
        <f>C14*(D14*0.01+E14*0.01)</f>
        <v>7200.0000000000009</v>
      </c>
    </row>
    <row r="15" spans="2:10">
      <c r="B15" s="170" t="s">
        <v>24</v>
      </c>
      <c r="C15" s="163">
        <v>100000</v>
      </c>
      <c r="D15" s="164">
        <v>4</v>
      </c>
      <c r="E15" s="164">
        <v>3.2</v>
      </c>
      <c r="F15" s="171">
        <f>C15*(D15*0.01+E15*0.01)</f>
        <v>7200.0000000000009</v>
      </c>
    </row>
    <row r="16" spans="2:10">
      <c r="B16" s="180" t="s">
        <v>25</v>
      </c>
      <c r="C16" s="181">
        <v>100000</v>
      </c>
      <c r="D16" s="182">
        <v>4</v>
      </c>
      <c r="E16" s="182">
        <v>3.2</v>
      </c>
      <c r="F16" s="183">
        <f>C16*(D16*0.01+E16*0.01)</f>
        <v>7200.0000000000009</v>
      </c>
    </row>
    <row r="17" spans="2:7">
      <c r="B17" s="174"/>
      <c r="C17" s="16"/>
      <c r="D17" s="124"/>
      <c r="E17" s="124"/>
      <c r="F17" s="175"/>
    </row>
    <row r="18" spans="2:7">
      <c r="B18" s="176" t="s">
        <v>26</v>
      </c>
      <c r="C18" s="178">
        <f>SUM(C5:C16)</f>
        <v>1200000</v>
      </c>
      <c r="D18" s="125"/>
      <c r="E18" s="125"/>
      <c r="F18" s="179">
        <f>SUM(F5:F16)</f>
        <v>86400.000000000015</v>
      </c>
    </row>
    <row r="20" spans="2:7" ht="18.75">
      <c r="B20" s="128" t="s">
        <v>27</v>
      </c>
      <c r="C20" s="129" t="s">
        <v>28</v>
      </c>
      <c r="D20" s="123"/>
      <c r="E20" s="129" t="s">
        <v>29</v>
      </c>
      <c r="F20" s="123"/>
      <c r="G20" s="130" t="s">
        <v>30</v>
      </c>
    </row>
    <row r="21" spans="2:7">
      <c r="B21" s="127" t="s">
        <v>34</v>
      </c>
      <c r="C21" s="122" t="e">
        <f>VLOOKUP(B21,TABLE[],3,FALSE)</f>
        <v>#N/A</v>
      </c>
      <c r="D21" s="124"/>
      <c r="E21" s="122" t="e">
        <f>VLOOKUP(B21,TABLE[],4,FALSE)</f>
        <v>#N/A</v>
      </c>
      <c r="F21" s="124"/>
      <c r="G21" s="134" t="e">
        <f>HYPERLINK(VLOOKUP(B21,TABLE[],5,FALSE))</f>
        <v>#N/A</v>
      </c>
    </row>
    <row r="22" spans="2:7">
      <c r="B22" s="156"/>
      <c r="C22" s="126" t="e">
        <f>VLOOKUP(B22,TABLE[],3,FALSE)</f>
        <v>#N/A</v>
      </c>
      <c r="D22" s="124"/>
      <c r="E22" s="126" t="e">
        <f>VLOOKUP(B22,TABLE[],4,FALSE)</f>
        <v>#N/A</v>
      </c>
      <c r="F22" s="124"/>
      <c r="G22" s="135" t="e">
        <f>HYPERLINK(VLOOKUP(B22,TABLE[],5,FALSE))</f>
        <v>#N/A</v>
      </c>
    </row>
    <row r="23" spans="2:7">
      <c r="B23" s="127"/>
      <c r="C23" s="122" t="e">
        <f>VLOOKUP(B23,TABLE[],3,FALSE)</f>
        <v>#N/A</v>
      </c>
      <c r="D23" s="124"/>
      <c r="E23" s="122" t="e">
        <f>VLOOKUP(B23,TABLE[],4,FALSE)</f>
        <v>#N/A</v>
      </c>
      <c r="F23" s="124"/>
      <c r="G23" s="134" t="e">
        <f>HYPERLINK(VLOOKUP(B23,TABLE[],5,FALSE))</f>
        <v>#N/A</v>
      </c>
    </row>
    <row r="24" spans="2:7">
      <c r="B24" s="156"/>
      <c r="C24" s="126" t="e">
        <f>VLOOKUP(B24,TABLE[],3,FALSE)</f>
        <v>#N/A</v>
      </c>
      <c r="D24" s="124"/>
      <c r="E24" s="126" t="e">
        <f>VLOOKUP(B24,TABLE[],4,FALSE)</f>
        <v>#N/A</v>
      </c>
      <c r="F24" s="124"/>
      <c r="G24" s="135" t="e">
        <f>HYPERLINK(VLOOKUP(B24,TABLE[],5,FALSE))</f>
        <v>#N/A</v>
      </c>
    </row>
    <row r="25" spans="2:7">
      <c r="B25" s="127"/>
      <c r="C25" s="122" t="e">
        <f>VLOOKUP(B25,TABLE[],3,FALSE)</f>
        <v>#N/A</v>
      </c>
      <c r="D25" s="124"/>
      <c r="E25" s="159" t="e">
        <f>VLOOKUP(B25,TABLE[],4,FALSE)</f>
        <v>#N/A</v>
      </c>
      <c r="F25" s="124"/>
      <c r="G25" s="134" t="e">
        <f>HYPERLINK(VLOOKUP(B25,TABLE[],5,FALSE))</f>
        <v>#N/A</v>
      </c>
    </row>
    <row r="26" spans="2:7">
      <c r="B26" s="156"/>
      <c r="C26" s="126" t="e">
        <f>VLOOKUP(B26,TABLE[],3,FALSE)</f>
        <v>#N/A</v>
      </c>
      <c r="D26" s="124"/>
      <c r="E26" s="126" t="e">
        <f>VLOOKUP(B26,TABLE[],4,FALSE)</f>
        <v>#N/A</v>
      </c>
      <c r="F26" s="124"/>
      <c r="G26" s="135" t="e">
        <f>HYPERLINK(VLOOKUP(B26,TABLE[],5,FALSE))</f>
        <v>#N/A</v>
      </c>
    </row>
    <row r="27" spans="2:7">
      <c r="B27" s="127"/>
      <c r="C27" s="159" t="e">
        <f>VLOOKUP(B27,TABLE[],3,FALSE)</f>
        <v>#N/A</v>
      </c>
      <c r="D27" s="124"/>
      <c r="E27" s="122" t="e">
        <f>VLOOKUP(B27,TABLE[],4,FALSE)</f>
        <v>#N/A</v>
      </c>
      <c r="F27" s="124"/>
      <c r="G27" s="161" t="e">
        <f>HYPERLINK(VLOOKUP(B27,TABLE[],5,FALSE))</f>
        <v>#N/A</v>
      </c>
    </row>
    <row r="28" spans="2:7">
      <c r="B28" s="157"/>
      <c r="C28" s="126" t="e">
        <f>VLOOKUP(B28,TABLE[],3,FALSE)</f>
        <v>#N/A</v>
      </c>
      <c r="D28" s="124"/>
      <c r="E28" s="126" t="e">
        <f>VLOOKUP(B28,TABLE[],4,FALSE)</f>
        <v>#N/A</v>
      </c>
      <c r="F28" s="124"/>
      <c r="G28" s="135" t="e">
        <f>HYPERLINK(VLOOKUP(B28,TABLE[],5,FALSE))</f>
        <v>#N/A</v>
      </c>
    </row>
    <row r="29" spans="2:7">
      <c r="B29" s="158"/>
      <c r="C29" s="122" t="e">
        <f>VLOOKUP(B29,TABLE[],3,FALSE)</f>
        <v>#N/A</v>
      </c>
      <c r="D29" s="124"/>
      <c r="E29" s="122" t="e">
        <f>VLOOKUP(B29,TABLE[],4,FALSE)</f>
        <v>#N/A</v>
      </c>
      <c r="F29" s="124"/>
      <c r="G29" s="134" t="e">
        <f>HYPERLINK(VLOOKUP(B29,TABLE[],5,FALSE))</f>
        <v>#N/A</v>
      </c>
    </row>
    <row r="30" spans="2:7">
      <c r="B30" s="157"/>
      <c r="C30" s="126" t="e">
        <f>VLOOKUP(B30,TABLE[],3,FALSE)</f>
        <v>#N/A</v>
      </c>
      <c r="D30" s="124"/>
      <c r="E30" s="126" t="e">
        <f>VLOOKUP(B30,TABLE[],4,FALSE)</f>
        <v>#N/A</v>
      </c>
      <c r="F30" s="124"/>
      <c r="G30" s="135" t="e">
        <f>HYPERLINK(VLOOKUP(B30,TABLE[],5,FALSE))</f>
        <v>#N/A</v>
      </c>
    </row>
    <row r="31" spans="2:7">
      <c r="B31" s="158"/>
      <c r="C31" s="122" t="e">
        <f>VLOOKUP(B31,TABLE[],3,FALSE)</f>
        <v>#N/A</v>
      </c>
      <c r="D31" s="124"/>
      <c r="E31" s="122" t="e">
        <f>VLOOKUP(B31,TABLE[],4,FALSE)</f>
        <v>#N/A</v>
      </c>
      <c r="F31" s="124"/>
      <c r="G31" s="134" t="e">
        <f>HYPERLINK(VLOOKUP(B31,TABLE[],5,FALSE))</f>
        <v>#N/A</v>
      </c>
    </row>
    <row r="32" spans="2:7">
      <c r="B32" s="157"/>
      <c r="C32" s="126" t="e">
        <f>VLOOKUP(B32,TABLE[],3,FALSE)</f>
        <v>#N/A</v>
      </c>
      <c r="D32" s="124"/>
      <c r="E32" s="126" t="e">
        <f>VLOOKUP(B32,TABLE[],4,FALSE)</f>
        <v>#N/A</v>
      </c>
      <c r="F32" s="124"/>
      <c r="G32" s="135" t="e">
        <f>HYPERLINK(VLOOKUP(B32,TABLE[],5,FALSE))</f>
        <v>#N/A</v>
      </c>
    </row>
    <row r="33" spans="2:7">
      <c r="B33" s="158"/>
      <c r="C33" s="122" t="e">
        <f>VLOOKUP(B33,TABLE[],3,FALSE)</f>
        <v>#N/A</v>
      </c>
      <c r="D33" s="124"/>
      <c r="E33" s="122" t="e">
        <f>VLOOKUP(B33,TABLE[],4,FALSE)</f>
        <v>#N/A</v>
      </c>
      <c r="F33" s="124"/>
      <c r="G33" s="134" t="e">
        <f>HYPERLINK(VLOOKUP(B33,TABLE[],5,FALSE))</f>
        <v>#N/A</v>
      </c>
    </row>
    <row r="34" spans="2:7">
      <c r="B34" s="157"/>
      <c r="C34" s="126" t="e">
        <f>VLOOKUP(B34,TABLE[],3,FALSE)</f>
        <v>#N/A</v>
      </c>
      <c r="D34" s="124"/>
      <c r="E34" s="126" t="e">
        <f>VLOOKUP(B34,TABLE[],4,FALSE)</f>
        <v>#N/A</v>
      </c>
      <c r="F34" s="124"/>
      <c r="G34" s="135" t="e">
        <f>HYPERLINK(VLOOKUP(B34,TABLE[],5,FALSE))</f>
        <v>#N/A</v>
      </c>
    </row>
    <row r="35" spans="2:7">
      <c r="B35" s="158"/>
      <c r="C35" s="122" t="e">
        <f>VLOOKUP(B35,TABLE[],3,FALSE)</f>
        <v>#N/A</v>
      </c>
      <c r="D35" s="124"/>
      <c r="E35" s="122" t="e">
        <f>VLOOKUP(B35,TABLE[],4,FALSE)</f>
        <v>#N/A</v>
      </c>
      <c r="F35" s="124"/>
      <c r="G35" s="135" t="e">
        <f>HYPERLINK(VLOOKUP(B35,TABLE[],5,FALSE))</f>
        <v>#N/A</v>
      </c>
    </row>
    <row r="36" spans="2:7">
      <c r="B36" s="157"/>
      <c r="C36" s="126" t="e">
        <f>VLOOKUP(B36,TABLE[],3,FALSE)</f>
        <v>#N/A</v>
      </c>
      <c r="D36" s="124"/>
      <c r="E36" s="126" t="e">
        <f>VLOOKUP(B36,TABLE[],4,FALSE)</f>
        <v>#N/A</v>
      </c>
      <c r="F36" s="124"/>
      <c r="G36" s="135" t="e">
        <f>HYPERLINK(VLOOKUP(B36,TABLE[],5,FALSE))</f>
        <v>#N/A</v>
      </c>
    </row>
    <row r="37" spans="2:7">
      <c r="B37" s="158"/>
      <c r="C37" s="122" t="e">
        <f>VLOOKUP(B37,TABLE[],3,FALSE)</f>
        <v>#N/A</v>
      </c>
      <c r="D37" s="124"/>
      <c r="E37" s="122" t="e">
        <f>VLOOKUP(B37,TABLE[],4,FALSE)</f>
        <v>#N/A</v>
      </c>
      <c r="F37" s="124"/>
      <c r="G37" s="135" t="e">
        <f>HYPERLINK(VLOOKUP(B37,TABLE[],5,FALSE))</f>
        <v>#N/A</v>
      </c>
    </row>
    <row r="38" spans="2:7">
      <c r="B38" s="157"/>
      <c r="C38" s="126" t="e">
        <f>VLOOKUP(B38,TABLE[],3,FALSE)</f>
        <v>#N/A</v>
      </c>
      <c r="D38" s="124"/>
      <c r="E38" s="126" t="e">
        <f>VLOOKUP(B38,TABLE[],4,FALSE)</f>
        <v>#N/A</v>
      </c>
      <c r="F38" s="124"/>
      <c r="G38" s="135" t="e">
        <f>HYPERLINK(VLOOKUP(B38,TABLE[],5,FALSE))</f>
        <v>#N/A</v>
      </c>
    </row>
    <row r="39" spans="2:7">
      <c r="B39" s="158"/>
      <c r="C39" s="122" t="e">
        <f>VLOOKUP(B39,TABLE[],3,FALSE)</f>
        <v>#N/A</v>
      </c>
      <c r="D39" s="124"/>
      <c r="E39" s="122" t="e">
        <f>VLOOKUP(B39,TABLE[],4,FALSE)</f>
        <v>#N/A</v>
      </c>
      <c r="F39" s="124"/>
      <c r="G39" s="135" t="e">
        <f>HYPERLINK(VLOOKUP(B39,TABLE[],5,FALSE))</f>
        <v>#N/A</v>
      </c>
    </row>
    <row r="40" spans="2:7">
      <c r="B40" s="157"/>
      <c r="C40" s="126" t="e">
        <f>VLOOKUP(B40,TABLE[],3,FALSE)</f>
        <v>#N/A</v>
      </c>
      <c r="D40" s="124"/>
      <c r="E40" s="126" t="e">
        <f>VLOOKUP(B40,TABLE[],4,FALSE)</f>
        <v>#N/A</v>
      </c>
      <c r="F40" s="124"/>
      <c r="G40" s="135" t="e">
        <f>HYPERLINK(VLOOKUP(B40,TABLE[],5,FALSE))</f>
        <v>#N/A</v>
      </c>
    </row>
    <row r="41" spans="2:7">
      <c r="B41" s="155"/>
      <c r="C41" s="162" t="e">
        <f>VLOOKUP(B41,TABLE[],3,FALSE)</f>
        <v>#N/A</v>
      </c>
      <c r="D41" s="125"/>
      <c r="E41" s="162" t="e">
        <f>VLOOKUP(B41,TABLE[],4,FALSE)</f>
        <v>#N/A</v>
      </c>
      <c r="F41" s="125"/>
      <c r="G41" s="160" t="e">
        <f>HYPERLINK(VLOOKUP(B41,TABLE[],5,FALSE))</f>
        <v>#N/A</v>
      </c>
    </row>
    <row r="54" spans="2:2">
      <c r="B54" s="118"/>
    </row>
  </sheetData>
  <sheetProtection algorithmName="SHA-512" hashValue="BbpZP7cp9HlsZA6woV4P/pYd6DsZ9Wk09rz2eYKtI9ZfG3T5fVDBPzfoRWOa5/f1F6v9e2+zB6JScxu9YKsB+w==" saltValue="OUOhggVIQ+4BtA8HUBOiCw==" spinCount="100000" sheet="1" objects="1" scenarios="1" formatCells="0" sort="0" autoFilter="0" pivotTables="0"/>
  <protectedRanges>
    <protectedRange sqref="C2 F2" name="Region"/>
    <protectedRange sqref="C5:C16" name="Litres"/>
    <protectedRange sqref="D5:D16" name="Butterfat"/>
    <protectedRange sqref="E5:E16" name="Protein"/>
  </protectedRange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D29780-F8CD-4F62-ADE8-F828076FA8CD}">
          <x14:formula1>
            <xm:f>'Tabled Data'!$C$3:$C$77</xm:f>
          </x14:formula1>
          <xm:sqref>C2</xm:sqref>
        </x14:dataValidation>
        <x14:dataValidation type="list" allowBlank="1" showInputMessage="1" showErrorMessage="1" xr:uid="{A9E0383F-7712-4627-A14B-CC633FD89FC8}">
          <x14:formula1>
            <xm:f>'Tabled Data'!$G$3:$G$120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F466-4768-42C5-8CED-E088DC0F6EFB}">
  <sheetPr>
    <pageSetUpPr fitToPage="1"/>
  </sheetPr>
  <dimension ref="C3:AI95"/>
  <sheetViews>
    <sheetView topLeftCell="T1" zoomScale="70" zoomScaleNormal="70" workbookViewId="0">
      <selection activeCell="AF1" sqref="AF1"/>
    </sheetView>
  </sheetViews>
  <sheetFormatPr defaultRowHeight="15"/>
  <cols>
    <col min="3" max="3" width="12" bestFit="1" customWidth="1"/>
    <col min="4" max="4" width="16" bestFit="1" customWidth="1"/>
    <col min="5" max="5" width="26.85546875" bestFit="1" customWidth="1"/>
    <col min="6" max="6" width="16.7109375" bestFit="1" customWidth="1"/>
    <col min="7" max="7" width="25.42578125" bestFit="1" customWidth="1"/>
    <col min="8" max="9" width="24.42578125" bestFit="1" customWidth="1"/>
    <col min="10" max="11" width="30" bestFit="1" customWidth="1"/>
    <col min="12" max="12" width="22.85546875" bestFit="1" customWidth="1"/>
    <col min="13" max="13" width="28" bestFit="1" customWidth="1"/>
    <col min="14" max="14" width="23.42578125" bestFit="1" customWidth="1"/>
    <col min="15" max="15" width="27.140625" bestFit="1" customWidth="1"/>
    <col min="16" max="16" width="33.28515625" bestFit="1" customWidth="1"/>
    <col min="17" max="17" width="28.28515625" bestFit="1" customWidth="1"/>
    <col min="18" max="18" width="33.5703125" bestFit="1" customWidth="1"/>
    <col min="19" max="20" width="36.5703125" bestFit="1" customWidth="1"/>
    <col min="21" max="22" width="33.5703125" bestFit="1" customWidth="1"/>
    <col min="23" max="23" width="32.28515625" bestFit="1" customWidth="1"/>
    <col min="24" max="24" width="28.140625" bestFit="1" customWidth="1"/>
    <col min="25" max="25" width="32.28515625" bestFit="1" customWidth="1"/>
    <col min="26" max="26" width="27.7109375" bestFit="1" customWidth="1"/>
    <col min="27" max="27" width="26.7109375" bestFit="1" customWidth="1"/>
    <col min="28" max="28" width="27.7109375" bestFit="1" customWidth="1"/>
    <col min="29" max="29" width="26.85546875" bestFit="1" customWidth="1"/>
    <col min="30" max="30" width="11.140625" bestFit="1" customWidth="1"/>
    <col min="31" max="31" width="13.85546875" customWidth="1"/>
    <col min="32" max="32" width="23.5703125" bestFit="1" customWidth="1"/>
    <col min="33" max="33" width="15.42578125" customWidth="1"/>
    <col min="34" max="34" width="12.28515625" customWidth="1"/>
    <col min="35" max="35" width="14.140625" customWidth="1"/>
  </cols>
  <sheetData>
    <row r="3" spans="3:30" ht="45.75">
      <c r="C3" s="17" t="s">
        <v>35</v>
      </c>
      <c r="D3" s="35" t="s">
        <v>32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0" t="s">
        <v>41</v>
      </c>
      <c r="K3" s="10" t="s">
        <v>42</v>
      </c>
      <c r="L3" s="10" t="s">
        <v>43</v>
      </c>
      <c r="N3" s="35" t="s">
        <v>44</v>
      </c>
      <c r="O3" s="10" t="s">
        <v>45</v>
      </c>
      <c r="P3" s="131" t="s">
        <v>46</v>
      </c>
      <c r="Q3" s="10" t="s">
        <v>47</v>
      </c>
      <c r="R3" s="131" t="s">
        <v>48</v>
      </c>
      <c r="S3" s="131" t="s">
        <v>49</v>
      </c>
      <c r="T3" s="131" t="s">
        <v>50</v>
      </c>
      <c r="U3" s="10" t="s">
        <v>51</v>
      </c>
      <c r="V3" s="10" t="s">
        <v>52</v>
      </c>
      <c r="W3" s="10" t="s">
        <v>53</v>
      </c>
      <c r="X3" s="10" t="s">
        <v>54</v>
      </c>
      <c r="Y3" s="10" t="s">
        <v>55</v>
      </c>
      <c r="AA3" s="35" t="s">
        <v>56</v>
      </c>
      <c r="AB3" s="10" t="s">
        <v>57</v>
      </c>
      <c r="AC3" s="10" t="s">
        <v>58</v>
      </c>
      <c r="AD3" s="10" t="s">
        <v>59</v>
      </c>
    </row>
    <row r="4" spans="3:30">
      <c r="C4" s="11"/>
      <c r="D4" s="39" t="s">
        <v>60</v>
      </c>
      <c r="E4" s="40">
        <f>(DASHBOARD!$C5*DASHBOARD!$D5*0.01*LaCasa!$C3)+(DASHBOARD!$C5*DASHBOARD!$E5*0.01*LaCasa!$D3)+(DASHBOARD!$C5*LaCasa!$E3)+(DASHBOARD!$F5*LaCasa!$F3)</f>
        <v>72460</v>
      </c>
      <c r="F4" s="40">
        <f>(DASHBOARD!$C5*DASHBOARD!$D5*0.01*'Coles (SA Central)'!$D5)+(DASHBOARD!$C5*DASHBOARD!$E5*0.01*'Coles (SA Central)'!$E5)-('Coles (SA Central)'!$F5)</f>
        <v>76787</v>
      </c>
      <c r="G4" s="40">
        <f>(DASHBOARD!$C5*DASHBOARD!$D5*0.01*'Saputo (SW Vic &amp; SA)'!$C4)+(DASHBOARD!$C5*DASHBOARD!$E5*0.01*'Saputo (SW Vic &amp; SA)'!$D4)+('Saputo (SW Vic &amp; SA)'!$E4*DASHBOARD!$C5*DASHBOARD!$D5*0.01)+('Saputo (SW Vic &amp; SA)'!$F4*DASHBOARD!$C5*DASHBOARD!$E5*0.01)+('Saputo (SW Vic &amp; SA)'!$G4*DASHBOARD!$C5*DASHBOARD!$D5*0.01)+('Saputo (SW Vic &amp; SA)'!$H4*DASHBOARD!$C5*DASHBOARD!$E5*0.01)</f>
        <v>62816</v>
      </c>
      <c r="H4" s="40">
        <f>(DASHBOARD!$C5*DASHBOARD!$D5*0.01*'Saputo (SW Vic &amp; SA)'!$C25)+(DASHBOARD!$C5*DASHBOARD!$E5*0.01*'Saputo (SW Vic &amp; SA)'!$D25)</f>
        <v>57824</v>
      </c>
      <c r="I4" s="40">
        <f>(DASHBOARD!$C5*DASHBOARD!$D5*0.01*'Lactalis (SA)'!$C3)+(DASHBOARD!$C5*DASHBOARD!$E5*0.01*'Lactalis (SA)'!$D3)+('Lactalis (SA)'!$E3*DASHBOARD!$C5*DASHBOARD!$D5*0.01)+('Lactalis (SA)'!$F3*DASHBOARD!$C5*DASHBOARD!$E5*0.01)</f>
        <v>74592</v>
      </c>
      <c r="J4" s="40">
        <f>(DASHBOARD!$C5*DASHBOARD!$D5*0.01*'Bega (SA Central)'!$D4)+(DASHBOARD!$C5*DASHBOARD!$E5*0.01*'Bega (SA Central)'!$E4)+('Bega (SA Central)'!$F4*DASHBOARD!$C5)-('Bega (SA Central)'!$G4)</f>
        <v>64606</v>
      </c>
      <c r="K4" s="13">
        <f>(DASHBOARD!$C5*'Fleurieu Milk'!$D4)</f>
        <v>72000</v>
      </c>
      <c r="L4" s="13">
        <f>('DFMC (SA)'!$D4*DASHBOARD!$C5*DASHBOARD!$D5*0.01)+('DFMC (SA)'!$E4*DASHBOARD!$C5*DASHBOARD!$E5*0.01)+('DFMC (SA)'!$F4*DASHBOARD!$C5)+('DFMC (SA)'!$G4*DASHBOARD!$F5)</f>
        <v>68684</v>
      </c>
      <c r="N4" s="39" t="s">
        <v>60</v>
      </c>
      <c r="O4" s="13">
        <f>(DASHBOARD!$C5*DASHBOARD!$D5*0.01*'Bega (SE SA &amp; West Vic)'!$D20)+('Bega (SE SA &amp; West Vic)'!$E20*0.01*DASHBOARD!$C5*DASHBOARD!$E5)</f>
        <v>57033.599999999999</v>
      </c>
      <c r="P4" s="13">
        <f>(DASHBOARD!$C5*DASHBOARD!$D5*0.01*'Bega (SE SA &amp; West Vic)'!$D34)+('Bega (SE SA &amp; West Vic)'!$E34*0.01*DASHBOARD!$C5*DASHBOARD!$E5)</f>
        <v>57240</v>
      </c>
      <c r="Q4" s="13">
        <f>('Bega (SE SA &amp; West Vic)'!$D4*DASHBOARD!$C5*DASHBOARD!$D5*0.01)+('Bega (SE SA &amp; West Vic)'!$E4*DASHBOARD!$C5*DASHBOARD!$E5*0.01)+('Bega (SE SA &amp; West Vic)'!$F4*DASHBOARD!$C5*DASHBOARD!$D5*0.01)+('Bega (SE SA &amp; West Vic)'!$G4*DASHBOARD!$C5*DASHBOARD!$E5*0.01)-('Bega (SE SA &amp; West Vic)'!$H4)</f>
        <v>56312</v>
      </c>
      <c r="R4" s="13">
        <f>('Coles (Vic, Riverina, &amp; SE SA)'!$D5*DASHBOARD!$C5*DASHBOARD!$D5*0.01)+('Coles (Vic, Riverina, &amp; SE SA)'!$E5*DASHBOARD!$C5*DASHBOARD!$E5*0.01)-('Coles (Vic, Riverina, &amp; SE SA)'!$F5)</f>
        <v>75435</v>
      </c>
      <c r="S4" s="13">
        <f>('Fonterra (SE SA &amp; West Vic)'!$H8*DASHBOARD!$C5*DASHBOARD!$D5*0.01)+('Fonterra (SE SA &amp; West Vic)'!$I8*DASHBOARD!$C5*DASHBOARD!$E5*0.01)+('Fonterra (SE SA &amp; West Vic)'!$J8*DASHBOARD!$C5*DASHBOARD!$D5*0.01)+('Fonterra (SE SA &amp; West Vic)'!$K8*DASHBOARD!$C5*DASHBOARD!$E5*0.01)+('Fonterra (SE SA &amp; West Vic)'!$L8*DASHBOARD!$C5*DASHBOARD!$D5*0.01)+('Fonterra (SE SA &amp; West Vic)'!$M8*DASHBOARD!$C5*DASHBOARD!$E5*0.01)</f>
        <v>68825.600000000006</v>
      </c>
      <c r="T4" s="13">
        <f>(DASHBOARD!$C5*DASHBOARD!$D5*0.01*'Fonterra (SE SA &amp; West Vic)'!$H24)+('Fonterra (SE SA &amp; West Vic)'!$I24*DASHBOARD!$C5*DASHBOARD!$E5*0.01)+('Fonterra (SE SA &amp; West Vic)'!$J24*DASHBOARD!$C5*DASHBOARD!$D5*0.01)+('Fonterra (SE SA &amp; West Vic)'!$K24*DASHBOARD!$C5*DASHBOARD!$E5*0.01)+('Fonterra (SE SA &amp; West Vic)'!$L24*DASHBOARD!$C5*DASHBOARD!$D5*0.01)+('Fonterra (SE SA &amp; West Vic)'!$M24*DASHBOARD!$C5*DASHBOARD!$E5*0.01)</f>
        <v>69777.600000000006</v>
      </c>
      <c r="U4" s="13">
        <f>(DASHBOARD!$C5*DASHBOARD!$D5*0.01*'Lactalis (SA)'!$C3)+(DASHBOARD!$C5*DASHBOARD!$E5*0.01*'Lactalis (SA)'!$D3)+('Lactalis (SA)'!$E3*DASHBOARD!$C5*DASHBOARD!$D5*0.01)+('Lactalis (SA)'!$F3*DASHBOARD!$C5*DASHBOARD!$E5*0.01)</f>
        <v>74592</v>
      </c>
      <c r="V4" s="13">
        <f>(DASHBOARD!$C5*DASHBOARD!$D5*0.01*'Saputo (SW Vic &amp; SA)'!$C4)+(DASHBOARD!$C5*DASHBOARD!$E5*0.01*'Saputo (SW Vic &amp; SA)'!$D4)+('Saputo (SW Vic &amp; SA)'!$E4*DASHBOARD!$C5*DASHBOARD!$D5*0.01)+('Saputo (SW Vic &amp; SA)'!$F4*DASHBOARD!$C5*DASHBOARD!$E5*0.01)+('Saputo (SW Vic &amp; SA)'!$G4*DASHBOARD!$C5*DASHBOARD!$D5*0.01)+('Saputo (SW Vic &amp; SA)'!$H4*DASHBOARD!$C5*DASHBOARD!$E5*0.01)</f>
        <v>62816</v>
      </c>
      <c r="W4" s="13">
        <f>(DASHBOARD!$C5*DASHBOARD!$D5*0.01*'Saputo (SW Vic &amp; SA)'!$C25)+(DASHBOARD!$C5*DASHBOARD!$E5*0.01*'Saputo (SW Vic &amp; SA)'!$D25)</f>
        <v>57824</v>
      </c>
      <c r="X4" s="13">
        <f>(DASHBOARD!$C5*DASHBOARD!$D5*0.01*UDC!$C20)+(UDC!$D20*0.01*DASHBOARD!$C5*DASHBOARD!$E5)+(DASHBOARD!$F5*UDC!$E20)+(UDC!$F20)</f>
        <v>66110.400000000009</v>
      </c>
      <c r="Y4" s="13">
        <f>(UDC!$C6*DASHBOARD!$C5*DASHBOARD!$D5*0.01)+(UDC!$D6*DASHBOARD!$C5*DASHBOARD!$E5*0.01)+(UDC!$E6*DASHBOARD!$F5)+(UDC!$F6*DASHBOARD!$F5)</f>
        <v>59810.400000000001</v>
      </c>
      <c r="AA4" s="39" t="s">
        <v>60</v>
      </c>
      <c r="AB4" s="13">
        <f>(Brownes!$D4*DASHBOARD!$C5)+(Brownes!$E4*DASHBOARD!$C5)+(Brownes!$F4*DASHBOARD!$C5)-(Brownes!$G4*DASHBOARD!$C5)</f>
        <v>63500</v>
      </c>
      <c r="AC4" s="13">
        <f>('Lactalis (WA)'!$C3*DASHBOARD!$C5)+('Lactalis (WA)'!$D3*DASHBOARD!$C5)+('Lactalis (WA)'!$E3*DASHBOARD!$C5)+('Lactalis (WA)'!$F3*DASHBOARD!$C5)</f>
        <v>54489.999999999993</v>
      </c>
      <c r="AD4" s="13">
        <f>('Coles (WA)'!$D5*DASHBOARD!$C5*DASHBOARD!$D5*0.01)+('Coles (WA)'!$E5*DASHBOARD!$C5*DASHBOARD!$E5*0.01)-('Coles (WA)'!$F5)</f>
        <v>74867</v>
      </c>
    </row>
    <row r="5" spans="3:30">
      <c r="C5" s="11"/>
      <c r="D5" s="39" t="s">
        <v>61</v>
      </c>
      <c r="E5" s="40">
        <f>(DASHBOARD!$C6*DASHBOARD!$D6*0.01*LaCasa!$C4)+(DASHBOARD!$C6*DASHBOARD!$E6*0.01*LaCasa!$D4)+(DASHBOARD!$C6*LaCasa!$E4)+(DASHBOARD!$F6*LaCasa!$F4)</f>
        <v>63308</v>
      </c>
      <c r="F5" s="40">
        <f>(DASHBOARD!$C6*DASHBOARD!$D6*0.01*'Coles (SA Central)'!$D6)+(DASHBOARD!$C6*DASHBOARD!$E6*0.01*'Coles (SA Central)'!$E6)-('Coles (SA Central)'!$F6)</f>
        <v>76787</v>
      </c>
      <c r="G5" s="40">
        <f>(DASHBOARD!$C6*DASHBOARD!$D6*0.01*'Saputo (SW Vic &amp; SA)'!$C5)+(DASHBOARD!$C6*DASHBOARD!$E6*0.01*'Saputo (SW Vic &amp; SA)'!$D5)+('Saputo (SW Vic &amp; SA)'!$E5*DASHBOARD!$C6*DASHBOARD!$D6*0.01)+('Saputo (SW Vic &amp; SA)'!$F5*DASHBOARD!$C6*DASHBOARD!$E6*0.01)+('Saputo (SW Vic &amp; SA)'!$G5*DASHBOARD!$C6*DASHBOARD!$D6*0.01)+('Saputo (SW Vic &amp; SA)'!$H5*DASHBOARD!$C6*DASHBOARD!$E6*0.01)</f>
        <v>54600</v>
      </c>
      <c r="H5" s="40">
        <f>(DASHBOARD!$C6*DASHBOARD!$D6*0.01*'Saputo (SW Vic &amp; SA)'!$C26)+(DASHBOARD!$C6*DASHBOARD!$E6*0.01*'Saputo (SW Vic &amp; SA)'!$D26)</f>
        <v>57824</v>
      </c>
      <c r="I5" s="40">
        <f>(DASHBOARD!$C6*DASHBOARD!$D6*0.01*'Lactalis (SA)'!$C4)+(DASHBOARD!$C6*DASHBOARD!$E6*0.01*'Lactalis (SA)'!$D4)+('Lactalis (SA)'!$E4*DASHBOARD!$C6*DASHBOARD!$D6*0.01)+('Lactalis (SA)'!$F4*DASHBOARD!$C6*DASHBOARD!$E6*0.01)</f>
        <v>65472</v>
      </c>
      <c r="J5" s="40">
        <f>(DASHBOARD!$C6*DASHBOARD!$D6*0.01*'Bega (SA Central)'!$D5)+(DASHBOARD!$C6*DASHBOARD!$E6*0.01*'Bega (SA Central)'!$E5)+('Bega (SA Central)'!$F5*DASHBOARD!$C6)-('Bega (SA Central)'!$G5)</f>
        <v>62670</v>
      </c>
      <c r="K5" s="13">
        <f>(DASHBOARD!$C6*'Fleurieu Milk'!$D5)</f>
        <v>72000</v>
      </c>
      <c r="L5" s="13">
        <f>('DFMC (SA)'!$D5*DASHBOARD!$C6*DASHBOARD!$D6*0.01)+('DFMC (SA)'!$E5*DASHBOARD!$C6*DASHBOARD!$E6*0.01)+('DFMC (SA)'!$F5*DASHBOARD!$C6)+('DFMC (SA)'!$G5*DASHBOARD!$F6)</f>
        <v>62172</v>
      </c>
      <c r="N5" s="39" t="s">
        <v>61</v>
      </c>
      <c r="O5" s="13">
        <f>(DASHBOARD!$C6*DASHBOARD!$D6*0.01*'Bega (SE SA &amp; West Vic)'!$D21)+('Bega (SE SA &amp; West Vic)'!$E21*0.01*DASHBOARD!$C6*DASHBOARD!$E6)</f>
        <v>57033.599999999999</v>
      </c>
      <c r="P5" s="13">
        <f>(DASHBOARD!$C6*DASHBOARD!$D6*0.01*'Bega (SE SA &amp; West Vic)'!$D35)+('Bega (SE SA &amp; West Vic)'!$E35*0.01*DASHBOARD!$C6*DASHBOARD!$E6)</f>
        <v>57240</v>
      </c>
      <c r="Q5" s="13">
        <f>('Bega (SE SA &amp; West Vic)'!$D5*DASHBOARD!$C6*DASHBOARD!$D6*0.01)+('Bega (SE SA &amp; West Vic)'!$E5*DASHBOARD!$C6*DASHBOARD!$E6*0.01)+('Bega (SE SA &amp; West Vic)'!$F5*DASHBOARD!$C6*DASHBOARD!$D6*0.01)+('Bega (SE SA &amp; West Vic)'!$G5*DASHBOARD!$C6*DASHBOARD!$E6*0.01)-('Bega (SE SA &amp; West Vic)'!$H5)</f>
        <v>56312</v>
      </c>
      <c r="R5" s="13">
        <f>('Coles (Vic, Riverina, &amp; SE SA)'!$D6*DASHBOARD!$C6*DASHBOARD!$D6*0.01)+('Coles (Vic, Riverina, &amp; SE SA)'!$E6*DASHBOARD!$C6*DASHBOARD!$E6*0.01)-('Coles (Vic, Riverina, &amp; SE SA)'!$F6)</f>
        <v>75435</v>
      </c>
      <c r="S5" s="13">
        <f>('Fonterra (SE SA &amp; West Vic)'!$H9*DASHBOARD!$C6*DASHBOARD!$D6*0.01)+('Fonterra (SE SA &amp; West Vic)'!$I9*DASHBOARD!$C6*DASHBOARD!$E6*0.01)+('Fonterra (SE SA &amp; West Vic)'!$J9*DASHBOARD!$C6*DASHBOARD!$D6*0.01)+('Fonterra (SE SA &amp; West Vic)'!$K9*DASHBOARD!$C6*DASHBOARD!$E6*0.01)+('Fonterra (SE SA &amp; West Vic)'!$L9*DASHBOARD!$C6*DASHBOARD!$D6*0.01)+('Fonterra (SE SA &amp; West Vic)'!$M9*DASHBOARD!$C6*DASHBOARD!$E6*0.01)</f>
        <v>68825.600000000006</v>
      </c>
      <c r="T5" s="13">
        <f>(DASHBOARD!$C6*DASHBOARD!$D6*0.01*'Fonterra (SE SA &amp; West Vic)'!$H25)+('Fonterra (SE SA &amp; West Vic)'!$I25*DASHBOARD!$C6*DASHBOARD!$E6*0.01)+('Fonterra (SE SA &amp; West Vic)'!$J25*DASHBOARD!$C6*DASHBOARD!$D6*0.01)+('Fonterra (SE SA &amp; West Vic)'!$K25*DASHBOARD!$C6*DASHBOARD!$E6*0.01)+('Fonterra (SE SA &amp; West Vic)'!$L25*DASHBOARD!$C6*DASHBOARD!$D6*0.01)+('Fonterra (SE SA &amp; West Vic)'!$M25*DASHBOARD!$C6*DASHBOARD!$E6*0.01)</f>
        <v>67233.600000000006</v>
      </c>
      <c r="U5" s="13">
        <f>(DASHBOARD!$C6*DASHBOARD!$D6*0.01*'Lactalis (SA)'!$C4)+(DASHBOARD!$C6*DASHBOARD!$E6*0.01*'Lactalis (SA)'!$D4)+('Lactalis (SA)'!$E4*DASHBOARD!$C6*DASHBOARD!$D6*0.01)+('Lactalis (SA)'!$F4*DASHBOARD!$C6*DASHBOARD!$E6*0.01)</f>
        <v>65472</v>
      </c>
      <c r="V5" s="13">
        <f>(DASHBOARD!$C6*DASHBOARD!$D6*0.01*'Saputo (SW Vic &amp; SA)'!$C5)+(DASHBOARD!$C6*DASHBOARD!$E6*0.01*'Saputo (SW Vic &amp; SA)'!$D5)+('Saputo (SW Vic &amp; SA)'!$E5*DASHBOARD!$C6*DASHBOARD!$D6*0.01)+('Saputo (SW Vic &amp; SA)'!$F5*DASHBOARD!$C6*DASHBOARD!$E6*0.01)+('Saputo (SW Vic &amp; SA)'!$G5*DASHBOARD!$C6*DASHBOARD!$D6*0.01)+('Saputo (SW Vic &amp; SA)'!$H5*DASHBOARD!$C6*DASHBOARD!$E6*0.01)</f>
        <v>54600</v>
      </c>
      <c r="W5" s="13">
        <f>(DASHBOARD!$C6*DASHBOARD!$D6*0.01*'Saputo (SW Vic &amp; SA)'!$C26)+(DASHBOARD!$C6*DASHBOARD!$E6*0.01*'Saputo (SW Vic &amp; SA)'!$D26)</f>
        <v>57824</v>
      </c>
      <c r="X5" s="13">
        <f>(DASHBOARD!$C6*DASHBOARD!$D6*0.01*UDC!$C21)+(UDC!$D21*0.01*DASHBOARD!$C6*DASHBOARD!$E6)+(DASHBOARD!$F6*UDC!$E21)+(UDC!$F21)</f>
        <v>66110.400000000009</v>
      </c>
      <c r="Y5" s="13">
        <f>(UDC!$C7*DASHBOARD!$C6*DASHBOARD!$D6*0.01)+(UDC!$D7*DASHBOARD!$C6*DASHBOARD!$E6*0.01)+(UDC!$E7*DASHBOARD!$F6)+(UDC!$F7*DASHBOARD!$F6)</f>
        <v>52610.400000000001</v>
      </c>
      <c r="AA5" s="39" t="s">
        <v>61</v>
      </c>
      <c r="AB5" s="13">
        <f>(Brownes!$D5*DASHBOARD!$C6)+(Brownes!$E5*DASHBOARD!$C6)+(Brownes!$F5*DASHBOARD!$C6)-(Brownes!$G5*DASHBOARD!$C6)</f>
        <v>63500</v>
      </c>
      <c r="AC5" s="13">
        <f>('Lactalis (WA)'!$C4*DASHBOARD!$C6)+('Lactalis (WA)'!$D4*DASHBOARD!$C6)+('Lactalis (WA)'!$E4*DASHBOARD!$C6)+('Lactalis (WA)'!$F4*DASHBOARD!$C6)</f>
        <v>53490.000000000007</v>
      </c>
      <c r="AD5" s="13">
        <f>('Coles (WA)'!$D6*DASHBOARD!$C6*DASHBOARD!$D6*0.01)+('Coles (WA)'!$E6*DASHBOARD!$C6*DASHBOARD!$E6*0.01)-('Coles (WA)'!$F6)</f>
        <v>74867</v>
      </c>
    </row>
    <row r="6" spans="3:30">
      <c r="C6" s="11"/>
      <c r="D6" s="39" t="s">
        <v>62</v>
      </c>
      <c r="E6" s="40">
        <f>(DASHBOARD!$C7*DASHBOARD!$D7*0.01*LaCasa!$C5)+(DASHBOARD!$C7*DASHBOARD!$E7*0.01*LaCasa!$D5)+(DASHBOARD!$C7*LaCasa!$E5)+(DASHBOARD!$F7*LaCasa!$F5)</f>
        <v>59756</v>
      </c>
      <c r="F6" s="40">
        <f>(DASHBOARD!$C7*DASHBOARD!$D7*0.01*'Coles (SA Central)'!$D7)+(DASHBOARD!$C7*DASHBOARD!$E7*0.01*'Coles (SA Central)'!$E7)-('Coles (SA Central)'!$F7)</f>
        <v>64942</v>
      </c>
      <c r="G6" s="40">
        <f>(DASHBOARD!$C7*DASHBOARD!$D7*0.01*'Saputo (SW Vic &amp; SA)'!$C6)+(DASHBOARD!$C7*DASHBOARD!$E7*0.01*'Saputo (SW Vic &amp; SA)'!$D6)+('Saputo (SW Vic &amp; SA)'!$E6*DASHBOARD!$C7*DASHBOARD!$D7*0.01)+('Saputo (SW Vic &amp; SA)'!$F6*DASHBOARD!$C7*DASHBOARD!$E7*0.01)+('Saputo (SW Vic &amp; SA)'!$G6*DASHBOARD!$C7*DASHBOARD!$D7*0.01)+('Saputo (SW Vic &amp; SA)'!$H6*DASHBOARD!$C7*DASHBOARD!$E7*0.01)</f>
        <v>54600</v>
      </c>
      <c r="H6" s="40">
        <f>(DASHBOARD!$C7*DASHBOARD!$D7*0.01*'Saputo (SW Vic &amp; SA)'!$C27)+(DASHBOARD!$C7*DASHBOARD!$E7*0.01*'Saputo (SW Vic &amp; SA)'!$D27)</f>
        <v>57824</v>
      </c>
      <c r="I6" s="40">
        <f>(DASHBOARD!$C7*DASHBOARD!$D7*0.01*'Lactalis (SA)'!$C5)+(DASHBOARD!$C7*DASHBOARD!$E7*0.01*'Lactalis (SA)'!$D5)+('Lactalis (SA)'!$E5*DASHBOARD!$C7*DASHBOARD!$D7*0.01)+('Lactalis (SA)'!$F5*DASHBOARD!$C7*DASHBOARD!$E7*0.01)</f>
        <v>59240</v>
      </c>
      <c r="J6" s="40">
        <f>(DASHBOARD!$C7*DASHBOARD!$D7*0.01*'Bega (SA Central)'!$D6)+(DASHBOARD!$C7*DASHBOARD!$E7*0.01*'Bega (SA Central)'!$E6)+('Bega (SA Central)'!$F6*DASHBOARD!$C7)-('Bega (SA Central)'!$G6)</f>
        <v>58984</v>
      </c>
      <c r="K6" s="13">
        <f>(DASHBOARD!$C7*'Fleurieu Milk'!$D6)</f>
        <v>69000</v>
      </c>
      <c r="L6" s="13">
        <f>('DFMC (SA)'!$D6*DASHBOARD!$C7*DASHBOARD!$D7*0.01)+('DFMC (SA)'!$E6*DASHBOARD!$C7*DASHBOARD!$E7*0.01)+('DFMC (SA)'!$F6*DASHBOARD!$C7)+('DFMC (SA)'!$G6*DASHBOARD!$F7)</f>
        <v>58828</v>
      </c>
      <c r="N6" s="39" t="s">
        <v>62</v>
      </c>
      <c r="O6" s="13">
        <f>(DASHBOARD!$C7*DASHBOARD!$D7*0.01*'Bega (SE SA &amp; West Vic)'!$D22)+('Bega (SE SA &amp; West Vic)'!$E22*0.01*DASHBOARD!$C7*DASHBOARD!$E7)</f>
        <v>57033.599999999999</v>
      </c>
      <c r="P6" s="13">
        <f>(DASHBOARD!$C7*DASHBOARD!$D7*0.01*'Bega (SE SA &amp; West Vic)'!$D36)+('Bega (SE SA &amp; West Vic)'!$E36*0.01*DASHBOARD!$C7*DASHBOARD!$E7)</f>
        <v>57240</v>
      </c>
      <c r="Q6" s="13">
        <f>('Bega (SE SA &amp; West Vic)'!$D6*DASHBOARD!$C7*DASHBOARD!$D7*0.01)+('Bega (SE SA &amp; West Vic)'!$E6*DASHBOARD!$C7*DASHBOARD!$E7*0.01)+('Bega (SE SA &amp; West Vic)'!$F6*DASHBOARD!$C7*DASHBOARD!$D7*0.01)+('Bega (SE SA &amp; West Vic)'!$G6*DASHBOARD!$C7*DASHBOARD!$E7*0.01)-('Bega (SE SA &amp; West Vic)'!$H6)</f>
        <v>52659.199999999997</v>
      </c>
      <c r="R6" s="13">
        <f>('Coles (Vic, Riverina, &amp; SE SA)'!$D7*DASHBOARD!$C7*DASHBOARD!$D7*0.01)+('Coles (Vic, Riverina, &amp; SE SA)'!$E7*DASHBOARD!$C7*DASHBOARD!$E7*0.01)-('Coles (Vic, Riverina, &amp; SE SA)'!$F7)</f>
        <v>63726</v>
      </c>
      <c r="S6" s="13">
        <f>('Fonterra (SE SA &amp; West Vic)'!$H10*DASHBOARD!$C7*DASHBOARD!$D7*0.01)+('Fonterra (SE SA &amp; West Vic)'!$I10*DASHBOARD!$C7*DASHBOARD!$E7*0.01)+('Fonterra (SE SA &amp; West Vic)'!$J10*DASHBOARD!$C7*DASHBOARD!$D7*0.01)+('Fonterra (SE SA &amp; West Vic)'!$K10*DASHBOARD!$C7*DASHBOARD!$E7*0.01)+('Fonterra (SE SA &amp; West Vic)'!$L10*DASHBOARD!$C7*DASHBOARD!$D7*0.01)+('Fonterra (SE SA &amp; West Vic)'!$M10*DASHBOARD!$C7*DASHBOARD!$E7*0.01)</f>
        <v>63665.599999999999</v>
      </c>
      <c r="T6" s="13">
        <f>(DASHBOARD!$C7*DASHBOARD!$D7*0.01*'Fonterra (SE SA &amp; West Vic)'!$H26)+('Fonterra (SE SA &amp; West Vic)'!$I26*DASHBOARD!$C7*DASHBOARD!$E7*0.01)+('Fonterra (SE SA &amp; West Vic)'!$J26*DASHBOARD!$C7*DASHBOARD!$D7*0.01)+('Fonterra (SE SA &amp; West Vic)'!$K26*DASHBOARD!$C7*DASHBOARD!$E7*0.01)+('Fonterra (SE SA &amp; West Vic)'!$L26*DASHBOARD!$C7*DASHBOARD!$D7*0.01)+('Fonterra (SE SA &amp; West Vic)'!$M26*DASHBOARD!$C7*DASHBOARD!$E7*0.01)</f>
        <v>63665.599999999999</v>
      </c>
      <c r="U6" s="13">
        <f>(DASHBOARD!$C7*DASHBOARD!$D7*0.01*'Lactalis (SA)'!$C5)+(DASHBOARD!$C7*DASHBOARD!$E7*0.01*'Lactalis (SA)'!$D5)+('Lactalis (SA)'!$E5*DASHBOARD!$C7*DASHBOARD!$D7*0.01)+('Lactalis (SA)'!$F5*DASHBOARD!$C7*DASHBOARD!$E7*0.01)</f>
        <v>59240</v>
      </c>
      <c r="V6" s="13">
        <f>(DASHBOARD!$C7*DASHBOARD!$D7*0.01*'Saputo (SW Vic &amp; SA)'!$C6)+(DASHBOARD!$C7*DASHBOARD!$E7*0.01*'Saputo (SW Vic &amp; SA)'!$D6)+('Saputo (SW Vic &amp; SA)'!$E6*DASHBOARD!$C7*DASHBOARD!$D7*0.01)+('Saputo (SW Vic &amp; SA)'!$F6*DASHBOARD!$C7*DASHBOARD!$E7*0.01)+('Saputo (SW Vic &amp; SA)'!$G6*DASHBOARD!$C7*DASHBOARD!$D7*0.01)+('Saputo (SW Vic &amp; SA)'!$H6*DASHBOARD!$C7*DASHBOARD!$E7*0.01)</f>
        <v>54600</v>
      </c>
      <c r="W6" s="13">
        <f>(DASHBOARD!$C7*DASHBOARD!$D7*0.01*'Saputo (SW Vic &amp; SA)'!$C27)+(DASHBOARD!$C7*DASHBOARD!$E7*0.01*'Saputo (SW Vic &amp; SA)'!$D27)</f>
        <v>57824</v>
      </c>
      <c r="X6" s="13">
        <f>(DASHBOARD!$C7*DASHBOARD!$D7*0.01*UDC!$C22)+(UDC!$D22*0.01*DASHBOARD!$C7*DASHBOARD!$E7)+(DASHBOARD!$F7*UDC!$E22)+(UDC!$F22)</f>
        <v>66110.400000000009</v>
      </c>
      <c r="Y6" s="13">
        <f>(UDC!$C8*DASHBOARD!$C7*DASHBOARD!$D7*0.01)+(UDC!$D8*DASHBOARD!$C7*DASHBOARD!$E7*0.01)+(UDC!$E8*DASHBOARD!$F7)+(UDC!$F8*DASHBOARD!$F7)</f>
        <v>52610.400000000001</v>
      </c>
      <c r="AA6" s="39" t="s">
        <v>62</v>
      </c>
      <c r="AB6" s="13">
        <f>(Brownes!$D6*DASHBOARD!$C7)+(Brownes!$E6*DASHBOARD!$C7)+(Brownes!$F6*DASHBOARD!$C7)-(Brownes!$G6*DASHBOARD!$C7)</f>
        <v>52500</v>
      </c>
      <c r="AC6" s="13">
        <f>('Lactalis (WA)'!$C5*DASHBOARD!$C7)+('Lactalis (WA)'!$D5*DASHBOARD!$C7)+('Lactalis (WA)'!$E5*DASHBOARD!$C7)+('Lactalis (WA)'!$F5*DASHBOARD!$C7)</f>
        <v>52490.000000000007</v>
      </c>
      <c r="AD6" s="13">
        <f>('Coles (WA)'!$D7*DASHBOARD!$C7*DASHBOARD!$D7*0.01)+('Coles (WA)'!$E7*DASHBOARD!$C7*DASHBOARD!$E7*0.01)-('Coles (WA)'!$F7)</f>
        <v>63374</v>
      </c>
    </row>
    <row r="7" spans="3:30">
      <c r="C7" s="11"/>
      <c r="D7" s="39" t="s">
        <v>63</v>
      </c>
      <c r="E7" s="40">
        <f>(DASHBOARD!$C8*DASHBOARD!$D8*0.01*LaCasa!$C6)+(DASHBOARD!$C8*DASHBOARD!$E8*0.01*LaCasa!$D6)+(DASHBOARD!$C8*LaCasa!$E6)+(DASHBOARD!$F8*LaCasa!$F6)</f>
        <v>59756</v>
      </c>
      <c r="F7" s="40">
        <f>(DASHBOARD!$C8*DASHBOARD!$D8*0.01*'Coles (SA Central)'!$D8)+(DASHBOARD!$C8*DASHBOARD!$E8*0.01*'Coles (SA Central)'!$E8)-('Coles (SA Central)'!$F8)</f>
        <v>64867</v>
      </c>
      <c r="G7" s="40">
        <f>(DASHBOARD!$C8*DASHBOARD!$D8*0.01*'Saputo (SW Vic &amp; SA)'!$C7)+(DASHBOARD!$C8*DASHBOARD!$E8*0.01*'Saputo (SW Vic &amp; SA)'!$D7)+('Saputo (SW Vic &amp; SA)'!$E7*DASHBOARD!$C8*DASHBOARD!$D8*0.01)+('Saputo (SW Vic &amp; SA)'!$F7*DASHBOARD!$C8*DASHBOARD!$E8*0.01)+('Saputo (SW Vic &amp; SA)'!$G7*DASHBOARD!$C8*DASHBOARD!$D8*0.01)+('Saputo (SW Vic &amp; SA)'!$H7*DASHBOARD!$C8*DASHBOARD!$E8*0.01)</f>
        <v>54600</v>
      </c>
      <c r="H7" s="40">
        <f>(DASHBOARD!$C8*DASHBOARD!$D8*0.01*'Saputo (SW Vic &amp; SA)'!$C28)+(DASHBOARD!$C8*DASHBOARD!$E8*0.01*'Saputo (SW Vic &amp; SA)'!$D28)</f>
        <v>57824</v>
      </c>
      <c r="I7" s="40">
        <f>(DASHBOARD!$C8*DASHBOARD!$D8*0.01*'Lactalis (SA)'!$C6)+(DASHBOARD!$C8*DASHBOARD!$E8*0.01*'Lactalis (SA)'!$D6)+('Lactalis (SA)'!$E6*DASHBOARD!$C8*DASHBOARD!$D8*0.01)+('Lactalis (SA)'!$F6*DASHBOARD!$C8*DASHBOARD!$E8*0.01)</f>
        <v>59240</v>
      </c>
      <c r="J7" s="40">
        <f>(DASHBOARD!$C8*DASHBOARD!$D8*0.01*'Bega (SA Central)'!$D7)+(DASHBOARD!$C8*DASHBOARD!$E8*0.01*'Bega (SA Central)'!$E7)+('Bega (SA Central)'!$F7*DASHBOARD!$C8)-('Bega (SA Central)'!$G7)</f>
        <v>58974</v>
      </c>
      <c r="K7" s="13">
        <f>(DASHBOARD!$C8*'Fleurieu Milk'!$D7)</f>
        <v>69000</v>
      </c>
      <c r="L7" s="13">
        <f>('DFMC (SA)'!$D7*DASHBOARD!$C8*DASHBOARD!$D8*0.01)+('DFMC (SA)'!$E7*DASHBOARD!$C8*DASHBOARD!$E8*0.01)+('DFMC (SA)'!$F7*DASHBOARD!$C8)+('DFMC (SA)'!$G7*DASHBOARD!$F8)</f>
        <v>58828</v>
      </c>
      <c r="N7" s="39" t="s">
        <v>63</v>
      </c>
      <c r="O7" s="13">
        <f>(DASHBOARD!$C8*DASHBOARD!$D8*0.01*'Bega (SE SA &amp; West Vic)'!$D23)+('Bega (SE SA &amp; West Vic)'!$E23*0.01*DASHBOARD!$C8*DASHBOARD!$E8)</f>
        <v>57033.599999999999</v>
      </c>
      <c r="P7" s="13">
        <f>(DASHBOARD!$C8*DASHBOARD!$D8*0.01*'Bega (SE SA &amp; West Vic)'!$D37)+('Bega (SE SA &amp; West Vic)'!$E37*0.01*DASHBOARD!$C8*DASHBOARD!$E8)</f>
        <v>57240</v>
      </c>
      <c r="Q7" s="13">
        <f>('Bega (SE SA &amp; West Vic)'!$D7*DASHBOARD!$C8*DASHBOARD!$D8*0.01)+('Bega (SE SA &amp; West Vic)'!$E7*DASHBOARD!$C8*DASHBOARD!$E8*0.01)+('Bega (SE SA &amp; West Vic)'!$F7*DASHBOARD!$C8*DASHBOARD!$D8*0.01)+('Bega (SE SA &amp; West Vic)'!$G7*DASHBOARD!$C8*DASHBOARD!$E8*0.01)-('Bega (SE SA &amp; West Vic)'!$H7)</f>
        <v>52651.199999999997</v>
      </c>
      <c r="R7" s="13">
        <f>('Coles (Vic, Riverina, &amp; SE SA)'!$D8*DASHBOARD!$C8*DASHBOARD!$D8*0.01)+('Coles (Vic, Riverina, &amp; SE SA)'!$E8*DASHBOARD!$C8*DASHBOARD!$E8*0.01)-('Coles (Vic, Riverina, &amp; SE SA)'!$F8)</f>
        <v>63651</v>
      </c>
      <c r="S7" s="13">
        <f>('Fonterra (SE SA &amp; West Vic)'!$H11*DASHBOARD!$C8*DASHBOARD!$D8*0.01)+('Fonterra (SE SA &amp; West Vic)'!$I11*DASHBOARD!$C8*DASHBOARD!$E8*0.01)+('Fonterra (SE SA &amp; West Vic)'!$J11*DASHBOARD!$C8*DASHBOARD!$D8*0.01)+('Fonterra (SE SA &amp; West Vic)'!$K11*DASHBOARD!$C8*DASHBOARD!$E8*0.01)+('Fonterra (SE SA &amp; West Vic)'!$L11*DASHBOARD!$C8*DASHBOARD!$D8*0.01)+('Fonterra (SE SA &amp; West Vic)'!$M11*DASHBOARD!$C8*DASHBOARD!$E8*0.01)</f>
        <v>63665.599999999999</v>
      </c>
      <c r="T7" s="13">
        <f>(DASHBOARD!$C8*DASHBOARD!$D8*0.01*'Fonterra (SE SA &amp; West Vic)'!$H27)+('Fonterra (SE SA &amp; West Vic)'!$I27*DASHBOARD!$C8*DASHBOARD!$E8*0.01)+('Fonterra (SE SA &amp; West Vic)'!$J27*DASHBOARD!$C8*DASHBOARD!$D8*0.01)+('Fonterra (SE SA &amp; West Vic)'!$K27*DASHBOARD!$C8*DASHBOARD!$E8*0.01)+('Fonterra (SE SA &amp; West Vic)'!$L27*DASHBOARD!$C8*DASHBOARD!$D8*0.01)+('Fonterra (SE SA &amp; West Vic)'!$M27*DASHBOARD!$C8*DASHBOARD!$E8*0.01)</f>
        <v>63665.599999999999</v>
      </c>
      <c r="U7" s="13">
        <f>(DASHBOARD!$C8*DASHBOARD!$D8*0.01*'Lactalis (SA)'!$C6)+(DASHBOARD!$C8*DASHBOARD!$E8*0.01*'Lactalis (SA)'!$D6)+('Lactalis (SA)'!$E6*DASHBOARD!$C8*DASHBOARD!$D8*0.01)+('Lactalis (SA)'!$F6*DASHBOARD!$C8*DASHBOARD!$E8*0.01)</f>
        <v>59240</v>
      </c>
      <c r="V7" s="13">
        <f>(DASHBOARD!$C8*DASHBOARD!$D8*0.01*'Saputo (SW Vic &amp; SA)'!$C7)+(DASHBOARD!$C8*DASHBOARD!$E8*0.01*'Saputo (SW Vic &amp; SA)'!$D7)+('Saputo (SW Vic &amp; SA)'!$E7*DASHBOARD!$C8*DASHBOARD!$D8*0.01)+('Saputo (SW Vic &amp; SA)'!$F7*DASHBOARD!$C8*DASHBOARD!$E8*0.01)+('Saputo (SW Vic &amp; SA)'!$G7*DASHBOARD!$C8*DASHBOARD!$D8*0.01)+('Saputo (SW Vic &amp; SA)'!$H7*DASHBOARD!$C8*DASHBOARD!$E8*0.01)</f>
        <v>54600</v>
      </c>
      <c r="W7" s="13">
        <f>(DASHBOARD!$C8*DASHBOARD!$D8*0.01*'Saputo (SW Vic &amp; SA)'!$C28)+(DASHBOARD!$C8*DASHBOARD!$E8*0.01*'Saputo (SW Vic &amp; SA)'!$D28)</f>
        <v>57824</v>
      </c>
      <c r="X7" s="13">
        <f>(DASHBOARD!$C8*DASHBOARD!$D8*0.01*UDC!$C23)+(UDC!$D23*0.01*DASHBOARD!$C8*DASHBOARD!$E8)+(DASHBOARD!$F8*UDC!$E23)+(UDC!$F23)</f>
        <v>55310.400000000009</v>
      </c>
      <c r="Y7" s="13">
        <f>(UDC!$C9*DASHBOARD!$C8*DASHBOARD!$D8*0.01)+(UDC!$D9*DASHBOARD!$C8*DASHBOARD!$E8*0.01)+(UDC!$E9*DASHBOARD!$F8)+(UDC!$F9*DASHBOARD!$F8)</f>
        <v>52610.400000000001</v>
      </c>
      <c r="AA7" s="39" t="s">
        <v>63</v>
      </c>
      <c r="AB7" s="13">
        <f>(Brownes!$D7*DASHBOARD!$C8)+(Brownes!$E7*DASHBOARD!$C8)+(Brownes!$F7*DASHBOARD!$C8)-(Brownes!$G7*DASHBOARD!$C8)</f>
        <v>54500.000000000007</v>
      </c>
      <c r="AC7" s="13">
        <f>('Lactalis (WA)'!$C6*DASHBOARD!$C8)+('Lactalis (WA)'!$D6*DASHBOARD!$C8)+('Lactalis (WA)'!$E6*DASHBOARD!$C8)+('Lactalis (WA)'!$F6*DASHBOARD!$C8)</f>
        <v>52490.000000000007</v>
      </c>
      <c r="AD7" s="13">
        <f>('Coles (WA)'!$D8*DASHBOARD!$C8*DASHBOARD!$D8*0.01)+('Coles (WA)'!$E8*DASHBOARD!$C8*DASHBOARD!$E8*0.01)-('Coles (WA)'!$F8)</f>
        <v>63299</v>
      </c>
    </row>
    <row r="8" spans="3:30">
      <c r="C8" s="11"/>
      <c r="D8" s="39" t="s">
        <v>64</v>
      </c>
      <c r="E8" s="40">
        <f>(DASHBOARD!$C9*DASHBOARD!$D9*0.01*LaCasa!$C7)+(DASHBOARD!$C9*DASHBOARD!$E9*0.01*LaCasa!$D7)+(DASHBOARD!$C9*LaCasa!$E7)+(DASHBOARD!$F9*LaCasa!$F7)</f>
        <v>59756</v>
      </c>
      <c r="F8" s="40">
        <f>(DASHBOARD!$C9*DASHBOARD!$D9*0.01*'Coles (SA Central)'!$D9)+(DASHBOARD!$C9*DASHBOARD!$E9*0.01*'Coles (SA Central)'!$E9)-('Coles (SA Central)'!$F9)</f>
        <v>64942</v>
      </c>
      <c r="G8" s="40">
        <f>(DASHBOARD!$C9*DASHBOARD!$D9*0.01*'Saputo (SW Vic &amp; SA)'!$C8)+(DASHBOARD!$C9*DASHBOARD!$E9*0.01*'Saputo (SW Vic &amp; SA)'!$D8)+('Saputo (SW Vic &amp; SA)'!$E8*DASHBOARD!$C9*DASHBOARD!$D9*0.01)+('Saputo (SW Vic &amp; SA)'!$F8*DASHBOARD!$C9*DASHBOARD!$E9*0.01)+('Saputo (SW Vic &amp; SA)'!$G8*DASHBOARD!$C9*DASHBOARD!$D9*0.01)+('Saputo (SW Vic &amp; SA)'!$H8*DASHBOARD!$C9*DASHBOARD!$E9*0.01)</f>
        <v>54600</v>
      </c>
      <c r="H8" s="40">
        <f>(DASHBOARD!$C9*DASHBOARD!$D9*0.01*'Saputo (SW Vic &amp; SA)'!$C29)+(DASHBOARD!$C9*DASHBOARD!$E9*0.01*'Saputo (SW Vic &amp; SA)'!$D29)</f>
        <v>57824</v>
      </c>
      <c r="I8" s="40">
        <f>(DASHBOARD!$C9*DASHBOARD!$D9*0.01*'Lactalis (SA)'!$C7)+(DASHBOARD!$C9*DASHBOARD!$E9*0.01*'Lactalis (SA)'!$D7)+('Lactalis (SA)'!$E7*DASHBOARD!$C9*DASHBOARD!$D9*0.01)+('Lactalis (SA)'!$F7*DASHBOARD!$C9*DASHBOARD!$E9*0.01)</f>
        <v>59240</v>
      </c>
      <c r="J8" s="40">
        <f>(DASHBOARD!$C9*DASHBOARD!$D9*0.01*'Bega (SA Central)'!$D8)+(DASHBOARD!$C9*DASHBOARD!$E9*0.01*'Bega (SA Central)'!$E8)+('Bega (SA Central)'!$F8*DASHBOARD!$C9)-('Bega (SA Central)'!$G8)</f>
        <v>58984</v>
      </c>
      <c r="K8" s="13">
        <f>(DASHBOARD!$C9*'Fleurieu Milk'!$D8)</f>
        <v>69000</v>
      </c>
      <c r="L8" s="13">
        <f>('DFMC (SA)'!$D8*DASHBOARD!$C9*DASHBOARD!$D9*0.01)+('DFMC (SA)'!$E8*DASHBOARD!$C9*DASHBOARD!$E9*0.01)+('DFMC (SA)'!$F8*DASHBOARD!$C9)+('DFMC (SA)'!$G8*DASHBOARD!$F9)</f>
        <v>58828</v>
      </c>
      <c r="N8" s="39" t="s">
        <v>64</v>
      </c>
      <c r="O8" s="13">
        <f>(DASHBOARD!$C9*DASHBOARD!$D9*0.01*'Bega (SE SA &amp; West Vic)'!$D24)+('Bega (SE SA &amp; West Vic)'!$E24*0.01*DASHBOARD!$C9*DASHBOARD!$E9)</f>
        <v>57033.599999999999</v>
      </c>
      <c r="P8" s="13">
        <f>(DASHBOARD!$C9*DASHBOARD!$D9*0.01*'Bega (SE SA &amp; West Vic)'!$D38)+('Bega (SE SA &amp; West Vic)'!$E38*0.01*DASHBOARD!$C9*DASHBOARD!$E9)</f>
        <v>57240</v>
      </c>
      <c r="Q8" s="13">
        <f>('Bega (SE SA &amp; West Vic)'!$D8*DASHBOARD!$C9*DASHBOARD!$D9*0.01)+('Bega (SE SA &amp; West Vic)'!$E8*DASHBOARD!$C9*DASHBOARD!$E9*0.01)+('Bega (SE SA &amp; West Vic)'!$F8*DASHBOARD!$C9*DASHBOARD!$D9*0.01)+('Bega (SE SA &amp; West Vic)'!$G8*DASHBOARD!$C9*DASHBOARD!$E9*0.01)-('Bega (SE SA &amp; West Vic)'!$H8)</f>
        <v>52659.199999999997</v>
      </c>
      <c r="R8" s="13">
        <f>('Coles (Vic, Riverina, &amp; SE SA)'!$D9*DASHBOARD!$C9*DASHBOARD!$D9*0.01)+('Coles (Vic, Riverina, &amp; SE SA)'!$E9*DASHBOARD!$C9*DASHBOARD!$E9*0.01)-('Coles (Vic, Riverina, &amp; SE SA)'!$F9)</f>
        <v>63726</v>
      </c>
      <c r="S8" s="13">
        <f>('Fonterra (SE SA &amp; West Vic)'!$H12*DASHBOARD!$C9*DASHBOARD!$D9*0.01)+('Fonterra (SE SA &amp; West Vic)'!$I12*DASHBOARD!$C9*DASHBOARD!$E9*0.01)+('Fonterra (SE SA &amp; West Vic)'!$J12*DASHBOARD!$C9*DASHBOARD!$D9*0.01)+('Fonterra (SE SA &amp; West Vic)'!$K12*DASHBOARD!$C9*DASHBOARD!$E9*0.01)+('Fonterra (SE SA &amp; West Vic)'!$L12*DASHBOARD!$C9*DASHBOARD!$D9*0.01)+('Fonterra (SE SA &amp; West Vic)'!$M12*DASHBOARD!$C9*DASHBOARD!$E9*0.01)</f>
        <v>63665.599999999999</v>
      </c>
      <c r="T8" s="13">
        <f>(DASHBOARD!$C9*DASHBOARD!$D9*0.01*'Fonterra (SE SA &amp; West Vic)'!$H28)+('Fonterra (SE SA &amp; West Vic)'!$I28*DASHBOARD!$C9*DASHBOARD!$E9*0.01)+('Fonterra (SE SA &amp; West Vic)'!$J28*DASHBOARD!$C9*DASHBOARD!$D9*0.01)+('Fonterra (SE SA &amp; West Vic)'!$K28*DASHBOARD!$C9*DASHBOARD!$E9*0.01)+('Fonterra (SE SA &amp; West Vic)'!$L28*DASHBOARD!$C9*DASHBOARD!$D9*0.01)+('Fonterra (SE SA &amp; West Vic)'!$M28*DASHBOARD!$C9*DASHBOARD!$E9*0.01)</f>
        <v>63665.599999999999</v>
      </c>
      <c r="U8" s="13">
        <f>(DASHBOARD!$C9*DASHBOARD!$D9*0.01*'Lactalis (SA)'!$C7)+(DASHBOARD!$C9*DASHBOARD!$E9*0.01*'Lactalis (SA)'!$D7)+('Lactalis (SA)'!$E7*DASHBOARD!$C9*DASHBOARD!$D9*0.01)+('Lactalis (SA)'!$F7*DASHBOARD!$C9*DASHBOARD!$E9*0.01)</f>
        <v>59240</v>
      </c>
      <c r="V8" s="13">
        <f>(DASHBOARD!$C9*DASHBOARD!$D9*0.01*'Saputo (SW Vic &amp; SA)'!$C8)+(DASHBOARD!$C9*DASHBOARD!$E9*0.01*'Saputo (SW Vic &amp; SA)'!$D8)+('Saputo (SW Vic &amp; SA)'!$E8*DASHBOARD!$C9*DASHBOARD!$D9*0.01)+('Saputo (SW Vic &amp; SA)'!$F8*DASHBOARD!$C9*DASHBOARD!$E9*0.01)+('Saputo (SW Vic &amp; SA)'!$G8*DASHBOARD!$C9*DASHBOARD!$D9*0.01)+('Saputo (SW Vic &amp; SA)'!$H8*DASHBOARD!$C9*DASHBOARD!$E9*0.01)</f>
        <v>54600</v>
      </c>
      <c r="W8" s="13">
        <f>(DASHBOARD!$C9*DASHBOARD!$D9*0.01*'Saputo (SW Vic &amp; SA)'!$C29)+(DASHBOARD!$C9*DASHBOARD!$E9*0.01*'Saputo (SW Vic &amp; SA)'!$D29)</f>
        <v>57824</v>
      </c>
      <c r="X8" s="13">
        <f>(DASHBOARD!$C9*DASHBOARD!$D9*0.01*UDC!$C24)+(UDC!$D24*0.01*DASHBOARD!$C9*DASHBOARD!$E9)+(DASHBOARD!$F9*UDC!$E24)+(UDC!$F24)</f>
        <v>55310.400000000009</v>
      </c>
      <c r="Y8" s="13">
        <f>(UDC!$C10*DASHBOARD!$C9*DASHBOARD!$D9*0.01)+(UDC!$D10*DASHBOARD!$C9*DASHBOARD!$E9*0.01)+(UDC!$E10*DASHBOARD!$F9)+(UDC!$F10*DASHBOARD!$F9)</f>
        <v>52610.400000000001</v>
      </c>
      <c r="AA8" s="39" t="s">
        <v>64</v>
      </c>
      <c r="AB8" s="13">
        <f>(Brownes!$D8*DASHBOARD!$C9)+(Brownes!$E8*DASHBOARD!$C9)+(Brownes!$F8*DASHBOARD!$C9)-(Brownes!$G8*DASHBOARD!$C9)</f>
        <v>56499.999999999993</v>
      </c>
      <c r="AC8" s="13">
        <f>('Lactalis (WA)'!$C7*DASHBOARD!$C9)+('Lactalis (WA)'!$D7*DASHBOARD!$C9)+('Lactalis (WA)'!$E7*DASHBOARD!$C9)+('Lactalis (WA)'!$F7*DASHBOARD!$C9)</f>
        <v>55300.000000000007</v>
      </c>
      <c r="AD8" s="13">
        <f>('Coles (WA)'!$D9*DASHBOARD!$C9*DASHBOARD!$D9*0.01)+('Coles (WA)'!$E9*DASHBOARD!$C9*DASHBOARD!$E9*0.01)-('Coles (WA)'!$F9)</f>
        <v>63374</v>
      </c>
    </row>
    <row r="9" spans="3:30">
      <c r="C9" s="11"/>
      <c r="D9" s="39" t="s">
        <v>65</v>
      </c>
      <c r="E9" s="40">
        <f>(DASHBOARD!$C10*DASHBOARD!$D10*0.01*LaCasa!$C8)+(DASHBOARD!$C10*DASHBOARD!$E10*0.01*LaCasa!$D8)+(DASHBOARD!$C10*LaCasa!$E8)+(DASHBOARD!$F10*LaCasa!$F8)</f>
        <v>59756</v>
      </c>
      <c r="F9" s="40">
        <f>(DASHBOARD!$C10*DASHBOARD!$D10*0.01*'Coles (SA Central)'!$D10)+(DASHBOARD!$C10*DASHBOARD!$E10*0.01*'Coles (SA Central)'!$E10)-('Coles (SA Central)'!$F10)</f>
        <v>64867</v>
      </c>
      <c r="G9" s="40">
        <f>(DASHBOARD!$C10*DASHBOARD!$D10*0.01*'Saputo (SW Vic &amp; SA)'!$C9)+(DASHBOARD!$C10*DASHBOARD!$E10*0.01*'Saputo (SW Vic &amp; SA)'!$D9)+('Saputo (SW Vic &amp; SA)'!$E9*DASHBOARD!$C10*DASHBOARD!$D10*0.01)+('Saputo (SW Vic &amp; SA)'!$F9*DASHBOARD!$C10*DASHBOARD!$E10*0.01)+('Saputo (SW Vic &amp; SA)'!$G9*DASHBOARD!$C10*DASHBOARD!$D10*0.01)+('Saputo (SW Vic &amp; SA)'!$H9*DASHBOARD!$C10*DASHBOARD!$E10*0.01)</f>
        <v>54600</v>
      </c>
      <c r="H9" s="40">
        <f>(DASHBOARD!$C10*DASHBOARD!$D10*0.01*'Saputo (SW Vic &amp; SA)'!$C30)+(DASHBOARD!$C10*DASHBOARD!$E10*0.01*'Saputo (SW Vic &amp; SA)'!$D30)</f>
        <v>57824</v>
      </c>
      <c r="I9" s="40">
        <f>(DASHBOARD!$C10*DASHBOARD!$D10*0.01*'Lactalis (SA)'!$C8)+(DASHBOARD!$C10*DASHBOARD!$E10*0.01*'Lactalis (SA)'!$D8)+('Lactalis (SA)'!$E8*DASHBOARD!$C10*DASHBOARD!$D10*0.01)+('Lactalis (SA)'!$F8*DASHBOARD!$C10*DASHBOARD!$E10*0.01)</f>
        <v>65472</v>
      </c>
      <c r="J9" s="40">
        <f>(DASHBOARD!$C10*DASHBOARD!$D10*0.01*'Bega (SA Central)'!$D9)+(DASHBOARD!$C10*DASHBOARD!$E10*0.01*'Bega (SA Central)'!$E9)+('Bega (SA Central)'!$F9*DASHBOARD!$C10)-('Bega (SA Central)'!$G9)</f>
        <v>62318</v>
      </c>
      <c r="K9" s="13">
        <f>(DASHBOARD!$C10*'Fleurieu Milk'!$D9)</f>
        <v>72000</v>
      </c>
      <c r="L9" s="13">
        <f>('DFMC (SA)'!$D9*DASHBOARD!$C10*DASHBOARD!$D10*0.01)+('DFMC (SA)'!$E9*DASHBOARD!$C10*DASHBOARD!$E10*0.01)+('DFMC (SA)'!$F9*DASHBOARD!$C10)+('DFMC (SA)'!$G9*DASHBOARD!$F10)</f>
        <v>58828</v>
      </c>
      <c r="N9" s="39" t="s">
        <v>65</v>
      </c>
      <c r="O9" s="13">
        <f>(DASHBOARD!$C10*DASHBOARD!$D10*0.01*'Bega (SE SA &amp; West Vic)'!$D25)+('Bega (SE SA &amp; West Vic)'!$E25*0.01*DASHBOARD!$C10*DASHBOARD!$E10)</f>
        <v>57033.599999999999</v>
      </c>
      <c r="P9" s="13">
        <f>(DASHBOARD!$C10*DASHBOARD!$D10*0.01*'Bega (SE SA &amp; West Vic)'!$D39)+('Bega (SE SA &amp; West Vic)'!$E39*0.01*DASHBOARD!$C10*DASHBOARD!$E10)</f>
        <v>57240</v>
      </c>
      <c r="Q9" s="13">
        <f>('Bega (SE SA &amp; West Vic)'!$D9*DASHBOARD!$C10*DASHBOARD!$D10*0.01)+('Bega (SE SA &amp; West Vic)'!$E9*DASHBOARD!$C10*DASHBOARD!$E10*0.01)+('Bega (SE SA &amp; West Vic)'!$F9*DASHBOARD!$C10*DASHBOARD!$D10*0.01)+('Bega (SE SA &amp; West Vic)'!$G9*DASHBOARD!$C10*DASHBOARD!$E10*0.01)-('Bega (SE SA &amp; West Vic)'!$H9)</f>
        <v>56312</v>
      </c>
      <c r="R9" s="13">
        <f>('Coles (Vic, Riverina, &amp; SE SA)'!$D10*DASHBOARD!$C10*DASHBOARD!$D10*0.01)+('Coles (Vic, Riverina, &amp; SE SA)'!$E10*DASHBOARD!$C10*DASHBOARD!$E10*0.01)-('Coles (Vic, Riverina, &amp; SE SA)'!$F10)</f>
        <v>63651</v>
      </c>
      <c r="S9" s="13">
        <f>('Fonterra (SE SA &amp; West Vic)'!$H13*DASHBOARD!$C10*DASHBOARD!$D10*0.01)+('Fonterra (SE SA &amp; West Vic)'!$I13*DASHBOARD!$C10*DASHBOARD!$E10*0.01)+('Fonterra (SE SA &amp; West Vic)'!$J13*DASHBOARD!$C10*DASHBOARD!$D10*0.01)+('Fonterra (SE SA &amp; West Vic)'!$K13*DASHBOARD!$C10*DASHBOARD!$E10*0.01)+('Fonterra (SE SA &amp; West Vic)'!$L13*DASHBOARD!$C10*DASHBOARD!$D10*0.01)+('Fonterra (SE SA &amp; West Vic)'!$M13*DASHBOARD!$C10*DASHBOARD!$E10*0.01)</f>
        <v>63665.599999999999</v>
      </c>
      <c r="T9" s="13">
        <f>(DASHBOARD!$C10*DASHBOARD!$D10*0.01*'Fonterra (SE SA &amp; West Vic)'!$H29)+('Fonterra (SE SA &amp; West Vic)'!$I29*DASHBOARD!$C10*DASHBOARD!$E10*0.01)+('Fonterra (SE SA &amp; West Vic)'!$J29*DASHBOARD!$C10*DASHBOARD!$D10*0.01)+('Fonterra (SE SA &amp; West Vic)'!$K29*DASHBOARD!$C10*DASHBOARD!$E10*0.01)+('Fonterra (SE SA &amp; West Vic)'!$L29*DASHBOARD!$C10*DASHBOARD!$D10*0.01)+('Fonterra (SE SA &amp; West Vic)'!$M29*DASHBOARD!$C10*DASHBOARD!$E10*0.01)</f>
        <v>63665.599999999999</v>
      </c>
      <c r="U9" s="13">
        <f>(DASHBOARD!$C10*DASHBOARD!$D10*0.01*'Lactalis (SA)'!$C8)+(DASHBOARD!$C10*DASHBOARD!$E10*0.01*'Lactalis (SA)'!$D8)+('Lactalis (SA)'!$E8*DASHBOARD!$C10*DASHBOARD!$D10*0.01)+('Lactalis (SA)'!$F8*DASHBOARD!$C10*DASHBOARD!$E10*0.01)</f>
        <v>65472</v>
      </c>
      <c r="V9" s="13">
        <f>(DASHBOARD!$C10*DASHBOARD!$D10*0.01*'Saputo (SW Vic &amp; SA)'!$C9)+(DASHBOARD!$C10*DASHBOARD!$E10*0.01*'Saputo (SW Vic &amp; SA)'!$D9)+('Saputo (SW Vic &amp; SA)'!$E9*DASHBOARD!$C10*DASHBOARD!$D10*0.01)+('Saputo (SW Vic &amp; SA)'!$F9*DASHBOARD!$C10*DASHBOARD!$E10*0.01)+('Saputo (SW Vic &amp; SA)'!$G9*DASHBOARD!$C10*DASHBOARD!$D10*0.01)+('Saputo (SW Vic &amp; SA)'!$H9*DASHBOARD!$C10*DASHBOARD!$E10*0.01)</f>
        <v>54600</v>
      </c>
      <c r="W9" s="13">
        <f>(DASHBOARD!$C10*DASHBOARD!$D10*0.01*'Saputo (SW Vic &amp; SA)'!$C30)+(DASHBOARD!$C10*DASHBOARD!$E10*0.01*'Saputo (SW Vic &amp; SA)'!$D30)</f>
        <v>57824</v>
      </c>
      <c r="X9" s="13">
        <f>(DASHBOARD!$C10*DASHBOARD!$D10*0.01*UDC!$C25)+(UDC!$D25*0.01*DASHBOARD!$C10*DASHBOARD!$E10)+(DASHBOARD!$F10*UDC!$E25)+(UDC!$F25)</f>
        <v>55310.400000000009</v>
      </c>
      <c r="Y9" s="13">
        <f>(UDC!$C11*DASHBOARD!$C10*DASHBOARD!$D10*0.01)+(UDC!$D11*DASHBOARD!$C10*DASHBOARD!$E10*0.01)+(UDC!$E11*DASHBOARD!$F10)+(UDC!$F11*DASHBOARD!$F10)</f>
        <v>52610.400000000001</v>
      </c>
      <c r="AA9" s="39" t="s">
        <v>65</v>
      </c>
      <c r="AB9" s="13">
        <f>(Brownes!$D9*DASHBOARD!$C10)+(Brownes!$E9*DASHBOARD!$C10)+(Brownes!$F9*DASHBOARD!$C10)-(Brownes!$G9*DASHBOARD!$C10)</f>
        <v>70500</v>
      </c>
      <c r="AC9" s="13">
        <f>('Lactalis (WA)'!$C8*DASHBOARD!$C10)+('Lactalis (WA)'!$D8*DASHBOARD!$C10)+('Lactalis (WA)'!$E8*DASHBOARD!$C10)+('Lactalis (WA)'!$F8*DASHBOARD!$C10)</f>
        <v>63620</v>
      </c>
      <c r="AD9" s="13">
        <f>('Coles (WA)'!$D10*DASHBOARD!$C10*DASHBOARD!$D10*0.01)+('Coles (WA)'!$E10*DASHBOARD!$C10*DASHBOARD!$E10*0.01)-('Coles (WA)'!$F10)</f>
        <v>63299</v>
      </c>
    </row>
    <row r="10" spans="3:30">
      <c r="C10" s="11"/>
      <c r="D10" s="39" t="s">
        <v>66</v>
      </c>
      <c r="E10" s="40">
        <f>(DASHBOARD!$C11*DASHBOARD!$D11*0.01*LaCasa!$C9)+(DASHBOARD!$C11*DASHBOARD!$E11*0.01*LaCasa!$D9)+(DASHBOARD!$C11*LaCasa!$E9)+(DASHBOARD!$F11*LaCasa!$F9)</f>
        <v>59756</v>
      </c>
      <c r="F10" s="40">
        <f>(DASHBOARD!$C11*DASHBOARD!$D11*0.01*'Coles (SA Central)'!$D11)+(DASHBOARD!$C11*DASHBOARD!$E11*0.01*'Coles (SA Central)'!$E11)-('Coles (SA Central)'!$F11)</f>
        <v>76787</v>
      </c>
      <c r="G10" s="40">
        <f>(DASHBOARD!$C11*DASHBOARD!$D11*0.01*'Saputo (SW Vic &amp; SA)'!$C10)+(DASHBOARD!$C11*DASHBOARD!$E11*0.01*'Saputo (SW Vic &amp; SA)'!$D10)+('Saputo (SW Vic &amp; SA)'!$E10*DASHBOARD!$C11*DASHBOARD!$D11*0.01)+('Saputo (SW Vic &amp; SA)'!$F10*DASHBOARD!$C11*DASHBOARD!$E11*0.01)+('Saputo (SW Vic &amp; SA)'!$G10*DASHBOARD!$C11*DASHBOARD!$D11*0.01)+('Saputo (SW Vic &amp; SA)'!$H10*DASHBOARD!$C11*DASHBOARD!$E11*0.01)</f>
        <v>62816</v>
      </c>
      <c r="H10" s="40">
        <f>(DASHBOARD!$C11*DASHBOARD!$D11*0.01*'Saputo (SW Vic &amp; SA)'!$C31)+(DASHBOARD!$C11*DASHBOARD!$E11*0.01*'Saputo (SW Vic &amp; SA)'!$D31)</f>
        <v>57824</v>
      </c>
      <c r="I10" s="40">
        <f>(DASHBOARD!$C11*DASHBOARD!$D11*0.01*'Lactalis (SA)'!$C9)+(DASHBOARD!$C11*DASHBOARD!$E11*0.01*'Lactalis (SA)'!$D9)+('Lactalis (SA)'!$E9*DASHBOARD!$C11*DASHBOARD!$D11*0.01)+('Lactalis (SA)'!$F9*DASHBOARD!$C11*DASHBOARD!$E11*0.01)</f>
        <v>65472</v>
      </c>
      <c r="J10" s="40">
        <f>(DASHBOARD!$C11*DASHBOARD!$D11*0.01*'Bega (SA Central)'!$D10)+(DASHBOARD!$C11*DASHBOARD!$E11*0.01*'Bega (SA Central)'!$E10)+('Bega (SA Central)'!$F10*DASHBOARD!$C11)-('Bega (SA Central)'!$G10)</f>
        <v>67774</v>
      </c>
      <c r="K10" s="13">
        <f>(DASHBOARD!$C11*'Fleurieu Milk'!$D10)</f>
        <v>77000</v>
      </c>
      <c r="L10" s="13">
        <f>('DFMC (SA)'!$D10*DASHBOARD!$C11*DASHBOARD!$D11*0.01)+('DFMC (SA)'!$E10*DASHBOARD!$C11*DASHBOARD!$E11*0.01)+('DFMC (SA)'!$F10*DASHBOARD!$C11)+('DFMC (SA)'!$G10*DASHBOARD!$F11)</f>
        <v>62348</v>
      </c>
      <c r="N10" s="39" t="s">
        <v>66</v>
      </c>
      <c r="O10" s="13">
        <f>(DASHBOARD!$C11*DASHBOARD!$D11*0.01*'Bega (SE SA &amp; West Vic)'!$D26)+('Bega (SE SA &amp; West Vic)'!$E26*0.01*DASHBOARD!$C11*DASHBOARD!$E11)</f>
        <v>57033.599999999999</v>
      </c>
      <c r="P10" s="13">
        <f>(DASHBOARD!$C11*DASHBOARD!$D11*0.01*'Bega (SE SA &amp; West Vic)'!$D40)+('Bega (SE SA &amp; West Vic)'!$E40*0.01*DASHBOARD!$C11*DASHBOARD!$E11)</f>
        <v>57240</v>
      </c>
      <c r="Q10" s="13">
        <f>('Bega (SE SA &amp; West Vic)'!$D10*DASHBOARD!$C11*DASHBOARD!$D11*0.01)+('Bega (SE SA &amp; West Vic)'!$E10*DASHBOARD!$C11*DASHBOARD!$E11*0.01)+('Bega (SE SA &amp; West Vic)'!$F10*DASHBOARD!$C11*DASHBOARD!$D11*0.01)+('Bega (SE SA &amp; West Vic)'!$G10*DASHBOARD!$C11*DASHBOARD!$E11*0.01)-('Bega (SE SA &amp; West Vic)'!$H10)</f>
        <v>56312</v>
      </c>
      <c r="R10" s="13">
        <f>('Coles (Vic, Riverina, &amp; SE SA)'!$D11*DASHBOARD!$C11*DASHBOARD!$D11*0.01)+('Coles (Vic, Riverina, &amp; SE SA)'!$E11*DASHBOARD!$C11*DASHBOARD!$E11*0.01)-('Coles (Vic, Riverina, &amp; SE SA)'!$F11)</f>
        <v>75435</v>
      </c>
      <c r="S10" s="13">
        <f>('Fonterra (SE SA &amp; West Vic)'!$H14*DASHBOARD!$C11*DASHBOARD!$D11*0.01)+('Fonterra (SE SA &amp; West Vic)'!$I14*DASHBOARD!$C11*DASHBOARD!$E11*0.01)+('Fonterra (SE SA &amp; West Vic)'!$J14*DASHBOARD!$C11*DASHBOARD!$D11*0.01)+('Fonterra (SE SA &amp; West Vic)'!$K14*DASHBOARD!$C11*DASHBOARD!$E11*0.01)+('Fonterra (SE SA &amp; West Vic)'!$L14*DASHBOARD!$C11*DASHBOARD!$D11*0.01)+('Fonterra (SE SA &amp; West Vic)'!$M14*DASHBOARD!$C11*DASHBOARD!$E11*0.01)</f>
        <v>68825.600000000006</v>
      </c>
      <c r="T10" s="13">
        <f>(DASHBOARD!$C11*DASHBOARD!$D11*0.01*'Fonterra (SE SA &amp; West Vic)'!$H30)+('Fonterra (SE SA &amp; West Vic)'!$I30*DASHBOARD!$C11*DASHBOARD!$E11*0.01)+('Fonterra (SE SA &amp; West Vic)'!$J30*DASHBOARD!$C11*DASHBOARD!$D11*0.01)+('Fonterra (SE SA &amp; West Vic)'!$K30*DASHBOARD!$C11*DASHBOARD!$E11*0.01)+('Fonterra (SE SA &amp; West Vic)'!$L30*DASHBOARD!$C11*DASHBOARD!$D11*0.01)+('Fonterra (SE SA &amp; West Vic)'!$M30*DASHBOARD!$C11*DASHBOARD!$E11*0.01)</f>
        <v>63665.599999999999</v>
      </c>
      <c r="U10" s="13">
        <f>(DASHBOARD!$C11*DASHBOARD!$D11*0.01*'Lactalis (SA)'!$C9)+(DASHBOARD!$C11*DASHBOARD!$E11*0.01*'Lactalis (SA)'!$D9)+('Lactalis (SA)'!$E9*DASHBOARD!$C11*DASHBOARD!$D11*0.01)+('Lactalis (SA)'!$F9*DASHBOARD!$C11*DASHBOARD!$E11*0.01)</f>
        <v>65472</v>
      </c>
      <c r="V10" s="13">
        <f>(DASHBOARD!$C11*DASHBOARD!$D11*0.01*'Saputo (SW Vic &amp; SA)'!$C10)+(DASHBOARD!$C11*DASHBOARD!$E11*0.01*'Saputo (SW Vic &amp; SA)'!$D10)+('Saputo (SW Vic &amp; SA)'!$E10*DASHBOARD!$C11*DASHBOARD!$D11*0.01)+('Saputo (SW Vic &amp; SA)'!$F10*DASHBOARD!$C11*DASHBOARD!$E11*0.01)+('Saputo (SW Vic &amp; SA)'!$G10*DASHBOARD!$C11*DASHBOARD!$D11*0.01)+('Saputo (SW Vic &amp; SA)'!$H10*DASHBOARD!$C11*DASHBOARD!$E11*0.01)</f>
        <v>62816</v>
      </c>
      <c r="W10" s="13">
        <f>(DASHBOARD!$C11*DASHBOARD!$D11*0.01*'Saputo (SW Vic &amp; SA)'!$C31)+(DASHBOARD!$C11*DASHBOARD!$E11*0.01*'Saputo (SW Vic &amp; SA)'!$D31)</f>
        <v>57824</v>
      </c>
      <c r="X10" s="13">
        <f>(DASHBOARD!$C11*DASHBOARD!$D11*0.01*UDC!$C26)+(UDC!$D26*0.01*DASHBOARD!$C11*DASHBOARD!$E11)+(DASHBOARD!$F11*UDC!$E26)+(UDC!$F26)</f>
        <v>66110.400000000009</v>
      </c>
      <c r="Y10" s="13">
        <f>(UDC!$C12*DASHBOARD!$C11*DASHBOARD!$D11*0.01)+(UDC!$D12*DASHBOARD!$C11*DASHBOARD!$E11*0.01)+(UDC!$E12*DASHBOARD!$F11)+(UDC!$F12*DASHBOARD!$F11)</f>
        <v>59810.400000000001</v>
      </c>
      <c r="AA10" s="39" t="s">
        <v>66</v>
      </c>
      <c r="AB10" s="13">
        <f>(Brownes!$D10*DASHBOARD!$C11)+(Brownes!$E10*DASHBOARD!$C11)+(Brownes!$F10*DASHBOARD!$C11)-(Brownes!$G10*DASHBOARD!$C11)</f>
        <v>76500</v>
      </c>
      <c r="AC10" s="13">
        <f>('Lactalis (WA)'!$C9*DASHBOARD!$C11)+('Lactalis (WA)'!$D9*DASHBOARD!$C11)+('Lactalis (WA)'!$E9*DASHBOARD!$C11)+('Lactalis (WA)'!$F9*DASHBOARD!$C11)</f>
        <v>70500</v>
      </c>
      <c r="AD10" s="13">
        <f>('Coles (WA)'!$D11*DASHBOARD!$C11*DASHBOARD!$D11*0.01)+('Coles (WA)'!$E11*DASHBOARD!$C11*DASHBOARD!$E11*0.01)-('Coles (WA)'!$F11)</f>
        <v>74867</v>
      </c>
    </row>
    <row r="11" spans="3:30">
      <c r="C11" s="11"/>
      <c r="D11" s="39" t="s">
        <v>67</v>
      </c>
      <c r="E11" s="40">
        <f>(DASHBOARD!$C12*DASHBOARD!$D12*0.01*LaCasa!$C10)+(DASHBOARD!$C12*DASHBOARD!$E12*0.01*LaCasa!$D10)+(DASHBOARD!$C12*LaCasa!$E10)+(DASHBOARD!$F12*LaCasa!$F10)</f>
        <v>66228</v>
      </c>
      <c r="F11" s="40">
        <f>(DASHBOARD!$C12*DASHBOARD!$D12*0.01*'Coles (SA Central)'!$D12)+(DASHBOARD!$C12*DASHBOARD!$E12*0.01*'Coles (SA Central)'!$E12)-('Coles (SA Central)'!$F12)</f>
        <v>77012</v>
      </c>
      <c r="G11" s="40">
        <f>(DASHBOARD!$C12*DASHBOARD!$D12*0.01*'Saputo (SW Vic &amp; SA)'!$C11)+(DASHBOARD!$C12*DASHBOARD!$E12*0.01*'Saputo (SW Vic &amp; SA)'!$D11)+('Saputo (SW Vic &amp; SA)'!$E11*DASHBOARD!$C12*DASHBOARD!$D12*0.01)+('Saputo (SW Vic &amp; SA)'!$F11*DASHBOARD!$C12*DASHBOARD!$E12*0.01)+('Saputo (SW Vic &amp; SA)'!$G11*DASHBOARD!$C12*DASHBOARD!$D12*0.01)+('Saputo (SW Vic &amp; SA)'!$H11*DASHBOARD!$C12*DASHBOARD!$E12*0.01)</f>
        <v>62816</v>
      </c>
      <c r="H11" s="40">
        <f>(DASHBOARD!$C12*DASHBOARD!$D12*0.01*'Saputo (SW Vic &amp; SA)'!$C32)+(DASHBOARD!$C12*DASHBOARD!$E12*0.01*'Saputo (SW Vic &amp; SA)'!$D32)</f>
        <v>57824</v>
      </c>
      <c r="I11" s="40">
        <f>(DASHBOARD!$C12*DASHBOARD!$D12*0.01*'Lactalis (SA)'!$C10)+(DASHBOARD!$C12*DASHBOARD!$E12*0.01*'Lactalis (SA)'!$D10)+('Lactalis (SA)'!$E10*DASHBOARD!$C12*DASHBOARD!$D12*0.01)+('Lactalis (SA)'!$F10*DASHBOARD!$C12*DASHBOARD!$E12*0.01)</f>
        <v>74592</v>
      </c>
      <c r="J11" s="40">
        <f>(DASHBOARD!$C12*DASHBOARD!$D12*0.01*'Bega (SA Central)'!$D11)+(DASHBOARD!$C12*DASHBOARD!$E12*0.01*'Bega (SA Central)'!$E11)+('Bega (SA Central)'!$F11*DASHBOARD!$C12)-('Bega (SA Central)'!$G11)</f>
        <v>67804</v>
      </c>
      <c r="K11" s="13">
        <f>(DASHBOARD!$C12*'Fleurieu Milk'!$D11)</f>
        <v>83000</v>
      </c>
      <c r="L11" s="13">
        <f>('DFMC (SA)'!$D11*DASHBOARD!$C12*DASHBOARD!$D12*0.01)+('DFMC (SA)'!$E11*DASHBOARD!$C12*DASHBOARD!$E12*0.01)+('DFMC (SA)'!$F11*DASHBOARD!$C12)+('DFMC (SA)'!$G11*DASHBOARD!$F12)</f>
        <v>64460</v>
      </c>
      <c r="N11" s="39" t="s">
        <v>67</v>
      </c>
      <c r="O11" s="13">
        <f>(DASHBOARD!$C12*DASHBOARD!$D12*0.01*'Bega (SE SA &amp; West Vic)'!$D27)+('Bega (SE SA &amp; West Vic)'!$E27*0.01*DASHBOARD!$C12*DASHBOARD!$E12)</f>
        <v>57033.599999999999</v>
      </c>
      <c r="P11" s="13">
        <f>(DASHBOARD!$C12*DASHBOARD!$D12*0.01*'Bega (SE SA &amp; West Vic)'!$D41)+('Bega (SE SA &amp; West Vic)'!$E41*0.01*DASHBOARD!$C12*DASHBOARD!$E12)</f>
        <v>57240</v>
      </c>
      <c r="Q11" s="13">
        <f>('Bega (SE SA &amp; West Vic)'!$D11*DASHBOARD!$C12*DASHBOARD!$D12*0.01)+('Bega (SE SA &amp; West Vic)'!$E11*DASHBOARD!$C12*DASHBOARD!$E12*0.01)+('Bega (SE SA &amp; West Vic)'!$F11*DASHBOARD!$C12*DASHBOARD!$D12*0.01)+('Bega (SE SA &amp; West Vic)'!$G11*DASHBOARD!$C12*DASHBOARD!$E12*0.01)-('Bega (SE SA &amp; West Vic)'!$H11)</f>
        <v>56336</v>
      </c>
      <c r="R11" s="13">
        <f>('Coles (Vic, Riverina, &amp; SE SA)'!$D12*DASHBOARD!$C12*DASHBOARD!$D12*0.01)+('Coles (Vic, Riverina, &amp; SE SA)'!$E12*DASHBOARD!$C12*DASHBOARD!$E12*0.01)-('Coles (Vic, Riverina, &amp; SE SA)'!$F12)</f>
        <v>75660</v>
      </c>
      <c r="S11" s="13">
        <f>('Fonterra (SE SA &amp; West Vic)'!$H15*DASHBOARD!$C12*DASHBOARD!$D12*0.01)+('Fonterra (SE SA &amp; West Vic)'!$I15*DASHBOARD!$C12*DASHBOARD!$E12*0.01)+('Fonterra (SE SA &amp; West Vic)'!$J15*DASHBOARD!$C12*DASHBOARD!$D12*0.01)+('Fonterra (SE SA &amp; West Vic)'!$K15*DASHBOARD!$C12*DASHBOARD!$E12*0.01)+('Fonterra (SE SA &amp; West Vic)'!$L15*DASHBOARD!$C12*DASHBOARD!$D12*0.01)+('Fonterra (SE SA &amp; West Vic)'!$M15*DASHBOARD!$C12*DASHBOARD!$E12*0.01)</f>
        <v>68825.600000000006</v>
      </c>
      <c r="T11" s="13">
        <f>(DASHBOARD!$C12*DASHBOARD!$D12*0.01*'Fonterra (SE SA &amp; West Vic)'!$H31)+('Fonterra (SE SA &amp; West Vic)'!$I31*DASHBOARD!$C12*DASHBOARD!$E12*0.01)+('Fonterra (SE SA &amp; West Vic)'!$J31*DASHBOARD!$C12*DASHBOARD!$D12*0.01)+('Fonterra (SE SA &amp; West Vic)'!$K31*DASHBOARD!$C12*DASHBOARD!$E12*0.01)+('Fonterra (SE SA &amp; West Vic)'!$L31*DASHBOARD!$C12*DASHBOARD!$D12*0.01)+('Fonterra (SE SA &amp; West Vic)'!$M31*DASHBOARD!$C12*DASHBOARD!$E12*0.01)</f>
        <v>67233.600000000006</v>
      </c>
      <c r="U11" s="13">
        <f>(DASHBOARD!$C12*DASHBOARD!$D12*0.01*'Lactalis (SA)'!$C10)+(DASHBOARD!$C12*DASHBOARD!$E12*0.01*'Lactalis (SA)'!$D10)+('Lactalis (SA)'!$E10*DASHBOARD!$C12*DASHBOARD!$D12*0.01)+('Lactalis (SA)'!$F10*DASHBOARD!$C12*DASHBOARD!$E12*0.01)</f>
        <v>74592</v>
      </c>
      <c r="V11" s="13">
        <f>(DASHBOARD!$C12*DASHBOARD!$D12*0.01*'Saputo (SW Vic &amp; SA)'!$C11)+(DASHBOARD!$C12*DASHBOARD!$E12*0.01*'Saputo (SW Vic &amp; SA)'!$D11)+('Saputo (SW Vic &amp; SA)'!$E11*DASHBOARD!$C12*DASHBOARD!$D12*0.01)+('Saputo (SW Vic &amp; SA)'!$F11*DASHBOARD!$C12*DASHBOARD!$E12*0.01)+('Saputo (SW Vic &amp; SA)'!$G11*DASHBOARD!$C12*DASHBOARD!$D12*0.01)+('Saputo (SW Vic &amp; SA)'!$H11*DASHBOARD!$C12*DASHBOARD!$E12*0.01)</f>
        <v>62816</v>
      </c>
      <c r="W11" s="13">
        <f>(DASHBOARD!$C12*DASHBOARD!$D12*0.01*'Saputo (SW Vic &amp; SA)'!$C32)+(DASHBOARD!$C12*DASHBOARD!$E12*0.01*'Saputo (SW Vic &amp; SA)'!$D32)</f>
        <v>57824</v>
      </c>
      <c r="X11" s="13">
        <f>(DASHBOARD!$C12*DASHBOARD!$D12*0.01*UDC!$C27)+(UDC!$D27*0.01*DASHBOARD!$C12*DASHBOARD!$E12)+(DASHBOARD!$F12*UDC!$E27)+(UDC!$F27)</f>
        <v>66110.400000000009</v>
      </c>
      <c r="Y11" s="13">
        <f>(UDC!$C13*DASHBOARD!$C12*DASHBOARD!$D12*0.01)+(UDC!$D13*DASHBOARD!$C12*DASHBOARD!$E12*0.01)+(UDC!$E13*DASHBOARD!$F12)+(UDC!$F13*DASHBOARD!$F12)</f>
        <v>59810.400000000001</v>
      </c>
      <c r="AA11" s="39" t="s">
        <v>67</v>
      </c>
      <c r="AB11" s="13">
        <f>(Brownes!$D11*DASHBOARD!$C12)+(Brownes!$E11*DASHBOARD!$C12)+(Brownes!$F11*DASHBOARD!$C12)-(Brownes!$G11*DASHBOARD!$C12)</f>
        <v>76500</v>
      </c>
      <c r="AC11" s="13">
        <f>('Lactalis (WA)'!$C10*DASHBOARD!$C12)+('Lactalis (WA)'!$D10*DASHBOARD!$C12)+('Lactalis (WA)'!$E10*DASHBOARD!$C12)+('Lactalis (WA)'!$F10*DASHBOARD!$C12)</f>
        <v>70500</v>
      </c>
      <c r="AD11" s="13">
        <f>('Coles (WA)'!$D12*DASHBOARD!$C12*DASHBOARD!$D12*0.01)+('Coles (WA)'!$E12*DASHBOARD!$C12*DASHBOARD!$E12*0.01)-('Coles (WA)'!$F12)</f>
        <v>75092</v>
      </c>
    </row>
    <row r="12" spans="3:30">
      <c r="C12" s="11"/>
      <c r="D12" s="39" t="s">
        <v>68</v>
      </c>
      <c r="E12" s="40">
        <f>(DASHBOARD!$C13*DASHBOARD!$D13*0.01*LaCasa!$C11)+(DASHBOARD!$C13*DASHBOARD!$E13*0.01*LaCasa!$D11)+(DASHBOARD!$C13*LaCasa!$E11)+(DASHBOARD!$F13*LaCasa!$F11)</f>
        <v>68980</v>
      </c>
      <c r="F12" s="40">
        <f>(DASHBOARD!$C13*DASHBOARD!$D13*0.01*'Coles (SA Central)'!$D13)+(DASHBOARD!$C13*DASHBOARD!$E13*0.01*'Coles (SA Central)'!$E13)-('Coles (SA Central)'!$F13)</f>
        <v>76787</v>
      </c>
      <c r="G12" s="40">
        <f>(DASHBOARD!$C13*DASHBOARD!$D13*0.01*'Saputo (SW Vic &amp; SA)'!$C12)+(DASHBOARD!$C13*DASHBOARD!$E13*0.01*'Saputo (SW Vic &amp; SA)'!$D12)+('Saputo (SW Vic &amp; SA)'!$E12*DASHBOARD!$C13*DASHBOARD!$D13*0.01)+('Saputo (SW Vic &amp; SA)'!$F12*DASHBOARD!$C13*DASHBOARD!$E13*0.01)+('Saputo (SW Vic &amp; SA)'!$G12*DASHBOARD!$C13*DASHBOARD!$D13*0.01)+('Saputo (SW Vic &amp; SA)'!$H12*DASHBOARD!$C13*DASHBOARD!$E13*0.01)</f>
        <v>62816</v>
      </c>
      <c r="H12" s="40">
        <f>(DASHBOARD!$C13*DASHBOARD!$D13*0.01*'Saputo (SW Vic &amp; SA)'!$C33)+(DASHBOARD!$C13*DASHBOARD!$E13*0.01*'Saputo (SW Vic &amp; SA)'!$D33)</f>
        <v>57824</v>
      </c>
      <c r="I12" s="40">
        <f>(DASHBOARD!$C13*DASHBOARD!$D13*0.01*'Lactalis (SA)'!$C11)+(DASHBOARD!$C13*DASHBOARD!$E13*0.01*'Lactalis (SA)'!$D11)+('Lactalis (SA)'!$E11*DASHBOARD!$C13*DASHBOARD!$D13*0.01)+('Lactalis (SA)'!$F11*DASHBOARD!$C13*DASHBOARD!$E13*0.01)</f>
        <v>74592</v>
      </c>
      <c r="J12" s="40">
        <f>(DASHBOARD!$C13*DASHBOARD!$D13*0.01*'Bega (SA Central)'!$D12)+(DASHBOARD!$C13*DASHBOARD!$E13*0.01*'Bega (SA Central)'!$E12)+('Bega (SA Central)'!$F12*DASHBOARD!$C13)-('Bega (SA Central)'!$G12)</f>
        <v>70062</v>
      </c>
      <c r="K12" s="13">
        <f>(DASHBOARD!$C13*'Fleurieu Milk'!$D12)</f>
        <v>83000</v>
      </c>
      <c r="L12" s="13">
        <f>('DFMC (SA)'!$D12*DASHBOARD!$C13*DASHBOARD!$D13*0.01)+('DFMC (SA)'!$E12*DASHBOARD!$C13*DASHBOARD!$E13*0.01)+('DFMC (SA)'!$F12*DASHBOARD!$C13)+('DFMC (SA)'!$G12*DASHBOARD!$F13)</f>
        <v>68356</v>
      </c>
      <c r="N12" s="39" t="s">
        <v>68</v>
      </c>
      <c r="O12" s="13">
        <f>(DASHBOARD!$C13*DASHBOARD!$D13*0.01*'Bega (SE SA &amp; West Vic)'!$D28)+('Bega (SE SA &amp; West Vic)'!$E28*0.01*DASHBOARD!$C13*DASHBOARD!$E13)</f>
        <v>57033.599999999999</v>
      </c>
      <c r="P12" s="13">
        <f>(DASHBOARD!$C13*DASHBOARD!$D13*0.01*'Bega (SE SA &amp; West Vic)'!$D42)+('Bega (SE SA &amp; West Vic)'!$E42*0.01*DASHBOARD!$C13*DASHBOARD!$E13)</f>
        <v>57240</v>
      </c>
      <c r="Q12" s="13">
        <f>('Bega (SE SA &amp; West Vic)'!$D12*DASHBOARD!$C13*DASHBOARD!$D13*0.01)+('Bega (SE SA &amp; West Vic)'!$E12*DASHBOARD!$C13*DASHBOARD!$E13*0.01)+('Bega (SE SA &amp; West Vic)'!$F12*DASHBOARD!$C13*DASHBOARD!$D13*0.01)+('Bega (SE SA &amp; West Vic)'!$G12*DASHBOARD!$C13*DASHBOARD!$E13*0.01)-('Bega (SE SA &amp; West Vic)'!$H12)</f>
        <v>56312</v>
      </c>
      <c r="R12" s="13">
        <f>('Coles (Vic, Riverina, &amp; SE SA)'!$D13*DASHBOARD!$C13*DASHBOARD!$D13*0.01)+('Coles (Vic, Riverina, &amp; SE SA)'!$E13*DASHBOARD!$C13*DASHBOARD!$E13*0.01)-('Coles (Vic, Riverina, &amp; SE SA)'!$F13)</f>
        <v>75435</v>
      </c>
      <c r="S12" s="13">
        <f>('Fonterra (SE SA &amp; West Vic)'!$H16*DASHBOARD!$C13*DASHBOARD!$D13*0.01)+('Fonterra (SE SA &amp; West Vic)'!$I16*DASHBOARD!$C13*DASHBOARD!$E13*0.01)+('Fonterra (SE SA &amp; West Vic)'!$J16*DASHBOARD!$C13*DASHBOARD!$D13*0.01)+('Fonterra (SE SA &amp; West Vic)'!$K16*DASHBOARD!$C13*DASHBOARD!$E13*0.01)+('Fonterra (SE SA &amp; West Vic)'!$L16*DASHBOARD!$C13*DASHBOARD!$D13*0.01)+('Fonterra (SE SA &amp; West Vic)'!$M16*DASHBOARD!$C13*DASHBOARD!$E13*0.01)</f>
        <v>68825.600000000006</v>
      </c>
      <c r="T12" s="13">
        <f>(DASHBOARD!$C13*DASHBOARD!$D13*0.01*'Fonterra (SE SA &amp; West Vic)'!$H32)+('Fonterra (SE SA &amp; West Vic)'!$I32*DASHBOARD!$C13*DASHBOARD!$E13*0.01)+('Fonterra (SE SA &amp; West Vic)'!$J32*DASHBOARD!$C13*DASHBOARD!$D13*0.01)+('Fonterra (SE SA &amp; West Vic)'!$K32*DASHBOARD!$C13*DASHBOARD!$E13*0.01)+('Fonterra (SE SA &amp; West Vic)'!$L32*DASHBOARD!$C13*DASHBOARD!$D13*0.01)+('Fonterra (SE SA &amp; West Vic)'!$M32*DASHBOARD!$C13*DASHBOARD!$E13*0.01)</f>
        <v>69777.600000000006</v>
      </c>
      <c r="U12" s="13">
        <f>(DASHBOARD!$C13*DASHBOARD!$D13*0.01*'Lactalis (SA)'!$C11)+(DASHBOARD!$C13*DASHBOARD!$E13*0.01*'Lactalis (SA)'!$D11)+('Lactalis (SA)'!$E11*DASHBOARD!$C13*DASHBOARD!$D13*0.01)+('Lactalis (SA)'!$F11*DASHBOARD!$C13*DASHBOARD!$E13*0.01)</f>
        <v>74592</v>
      </c>
      <c r="V12" s="13">
        <f>(DASHBOARD!$C13*DASHBOARD!$D13*0.01*'Saputo (SW Vic &amp; SA)'!$C12)+(DASHBOARD!$C13*DASHBOARD!$E13*0.01*'Saputo (SW Vic &amp; SA)'!$D12)+('Saputo (SW Vic &amp; SA)'!$E12*DASHBOARD!$C13*DASHBOARD!$D13*0.01)+('Saputo (SW Vic &amp; SA)'!$F12*DASHBOARD!$C13*DASHBOARD!$E13*0.01)+('Saputo (SW Vic &amp; SA)'!$G12*DASHBOARD!$C13*DASHBOARD!$D13*0.01)+('Saputo (SW Vic &amp; SA)'!$H12*DASHBOARD!$C13*DASHBOARD!$E13*0.01)</f>
        <v>62816</v>
      </c>
      <c r="W12" s="13">
        <f>(DASHBOARD!$C13*DASHBOARD!$D13*0.01*'Saputo (SW Vic &amp; SA)'!$C33)+(DASHBOARD!$C13*DASHBOARD!$E13*0.01*'Saputo (SW Vic &amp; SA)'!$D33)</f>
        <v>57824</v>
      </c>
      <c r="X12" s="13">
        <f>(DASHBOARD!$C13*DASHBOARD!$D13*0.01*UDC!$C28)+(UDC!$D28*0.01*DASHBOARD!$C13*DASHBOARD!$E13)+(DASHBOARD!$F13*UDC!$E28)+(UDC!$F28)</f>
        <v>66110.400000000009</v>
      </c>
      <c r="Y12" s="13">
        <f>(UDC!$C14*DASHBOARD!$C13*DASHBOARD!$D13*0.01)+(UDC!$D14*DASHBOARD!$C13*DASHBOARD!$E13*0.01)+(UDC!$E14*DASHBOARD!$F13)+(UDC!$F14*DASHBOARD!$F13)</f>
        <v>59810.400000000001</v>
      </c>
      <c r="AA12" s="39" t="s">
        <v>68</v>
      </c>
      <c r="AB12" s="13">
        <f>(Brownes!$D12*DASHBOARD!$C13)+(Brownes!$E12*DASHBOARD!$C13)+(Brownes!$F12*DASHBOARD!$C13)-(Brownes!$G12*DASHBOARD!$C13)</f>
        <v>76500</v>
      </c>
      <c r="AC12" s="13">
        <f>('Lactalis (WA)'!$C11*DASHBOARD!$C13)+('Lactalis (WA)'!$D11*DASHBOARD!$C13)+('Lactalis (WA)'!$E11*DASHBOARD!$C13)+('Lactalis (WA)'!$F11*DASHBOARD!$C13)</f>
        <v>69750</v>
      </c>
      <c r="AD12" s="13">
        <f>('Coles (WA)'!$D13*DASHBOARD!$C13*DASHBOARD!$D13*0.01)+('Coles (WA)'!$E13*DASHBOARD!$C13*DASHBOARD!$E13*0.01)-('Coles (WA)'!$F13)</f>
        <v>74867</v>
      </c>
    </row>
    <row r="13" spans="3:30">
      <c r="C13" s="11"/>
      <c r="D13" s="39" t="s">
        <v>69</v>
      </c>
      <c r="E13" s="40">
        <f>(DASHBOARD!$C14*DASHBOARD!$D14*0.01*LaCasa!$C12)+(DASHBOARD!$C14*DASHBOARD!$E14*0.01*LaCasa!$D12)+(DASHBOARD!$C14*LaCasa!$E12)+(DASHBOARD!$F14*LaCasa!$F12)</f>
        <v>71228</v>
      </c>
      <c r="F13" s="40">
        <f>(DASHBOARD!$C14*DASHBOARD!$D14*0.01*'Coles (SA Central)'!$D14)+(DASHBOARD!$C14*DASHBOARD!$E14*0.01*'Coles (SA Central)'!$E14)-('Coles (SA Central)'!$F14)</f>
        <v>76862</v>
      </c>
      <c r="G13" s="40">
        <f>(DASHBOARD!$C14*DASHBOARD!$D14*0.01*'Saputo (SW Vic &amp; SA)'!$C13)+(DASHBOARD!$C14*DASHBOARD!$E14*0.01*'Saputo (SW Vic &amp; SA)'!$D13)+('Saputo (SW Vic &amp; SA)'!$E13*DASHBOARD!$C14*DASHBOARD!$D14*0.01)+('Saputo (SW Vic &amp; SA)'!$F13*DASHBOARD!$C14*DASHBOARD!$E14*0.01)+('Saputo (SW Vic &amp; SA)'!$G13*DASHBOARD!$C14*DASHBOARD!$D14*0.01)+('Saputo (SW Vic &amp; SA)'!$H13*DASHBOARD!$C14*DASHBOARD!$E14*0.01)</f>
        <v>62816</v>
      </c>
      <c r="H13" s="40">
        <f>(DASHBOARD!$C14*DASHBOARD!$D14*0.01*'Saputo (SW Vic &amp; SA)'!$C34)+(DASHBOARD!$C14*DASHBOARD!$E14*0.01*'Saputo (SW Vic &amp; SA)'!$D34)</f>
        <v>57824</v>
      </c>
      <c r="I13" s="40">
        <f>(DASHBOARD!$C14*DASHBOARD!$D14*0.01*'Lactalis (SA)'!$C12)+(DASHBOARD!$C14*DASHBOARD!$E14*0.01*'Lactalis (SA)'!$D12)+('Lactalis (SA)'!$E12*DASHBOARD!$C14*DASHBOARD!$D14*0.01)+('Lactalis (SA)'!$F12*DASHBOARD!$C14*DASHBOARD!$E14*0.01)</f>
        <v>74592</v>
      </c>
      <c r="J13" s="40">
        <f>(DASHBOARD!$C14*DASHBOARD!$D14*0.01*'Bega (SA Central)'!$D13)+(DASHBOARD!$C14*DASHBOARD!$E14*0.01*'Bega (SA Central)'!$E13)+('Bega (SA Central)'!$F13*DASHBOARD!$C14)-('Bega (SA Central)'!$G13)</f>
        <v>70072</v>
      </c>
      <c r="K13" s="13">
        <f>(DASHBOARD!$C14*'Fleurieu Milk'!$D13)</f>
        <v>83000</v>
      </c>
      <c r="L13" s="13">
        <f>('DFMC (SA)'!$D13*DASHBOARD!$C14*DASHBOARD!$D14*0.01)+('DFMC (SA)'!$E13*DASHBOARD!$C14*DASHBOARD!$E14*0.01)+('DFMC (SA)'!$F13*DASHBOARD!$C14)+('DFMC (SA)'!$G13*DASHBOARD!$F14)</f>
        <v>68860</v>
      </c>
      <c r="N13" s="39" t="s">
        <v>69</v>
      </c>
      <c r="O13" s="13">
        <f>(DASHBOARD!$C14*DASHBOARD!$D14*0.01*'Bega (SE SA &amp; West Vic)'!$D29)+('Bega (SE SA &amp; West Vic)'!$E29*0.01*DASHBOARD!$C14*DASHBOARD!$E14)</f>
        <v>57033.599999999999</v>
      </c>
      <c r="P13" s="13">
        <f>(DASHBOARD!$C14*DASHBOARD!$D14*0.01*'Bega (SE SA &amp; West Vic)'!$D43)+('Bega (SE SA &amp; West Vic)'!$E43*0.01*DASHBOARD!$C14*DASHBOARD!$E14)</f>
        <v>57240</v>
      </c>
      <c r="Q13" s="13">
        <f>('Bega (SE SA &amp; West Vic)'!$D13*DASHBOARD!$C14*DASHBOARD!$D14*0.01)+('Bega (SE SA &amp; West Vic)'!$E13*DASHBOARD!$C14*DASHBOARD!$E14*0.01)+('Bega (SE SA &amp; West Vic)'!$F13*DASHBOARD!$C14*DASHBOARD!$D14*0.01)+('Bega (SE SA &amp; West Vic)'!$G13*DASHBOARD!$C14*DASHBOARD!$E14*0.01)-('Bega (SE SA &amp; West Vic)'!$H13)</f>
        <v>56320</v>
      </c>
      <c r="R13" s="13">
        <f>('Coles (Vic, Riverina, &amp; SE SA)'!$D14*DASHBOARD!$C14*DASHBOARD!$D14*0.01)+('Coles (Vic, Riverina, &amp; SE SA)'!$E14*DASHBOARD!$C14*DASHBOARD!$E14*0.01)-('Coles (Vic, Riverina, &amp; SE SA)'!$F14)</f>
        <v>75510</v>
      </c>
      <c r="S13" s="13">
        <f>('Fonterra (SE SA &amp; West Vic)'!$H17*DASHBOARD!$C14*DASHBOARD!$D14*0.01)+('Fonterra (SE SA &amp; West Vic)'!$I17*DASHBOARD!$C14*DASHBOARD!$E14*0.01)+('Fonterra (SE SA &amp; West Vic)'!$J17*DASHBOARD!$C14*DASHBOARD!$D14*0.01)+('Fonterra (SE SA &amp; West Vic)'!$K17*DASHBOARD!$C14*DASHBOARD!$E14*0.01)+('Fonterra (SE SA &amp; West Vic)'!$L17*DASHBOARD!$C14*DASHBOARD!$D14*0.01)+('Fonterra (SE SA &amp; West Vic)'!$M17*DASHBOARD!$C14*DASHBOARD!$E14*0.01)</f>
        <v>68825.600000000006</v>
      </c>
      <c r="T13" s="13">
        <f>(DASHBOARD!$C14*DASHBOARD!$D14*0.01*'Fonterra (SE SA &amp; West Vic)'!$H33)+('Fonterra (SE SA &amp; West Vic)'!$I33*DASHBOARD!$C14*DASHBOARD!$E14*0.01)+('Fonterra (SE SA &amp; West Vic)'!$J33*DASHBOARD!$C14*DASHBOARD!$D14*0.01)+('Fonterra (SE SA &amp; West Vic)'!$K33*DASHBOARD!$C14*DASHBOARD!$E14*0.01)+('Fonterra (SE SA &amp; West Vic)'!$L33*DASHBOARD!$C14*DASHBOARD!$D14*0.01)+('Fonterra (SE SA &amp; West Vic)'!$M33*DASHBOARD!$C14*DASHBOARD!$E14*0.01)</f>
        <v>71121.600000000006</v>
      </c>
      <c r="U13" s="13">
        <f>(DASHBOARD!$C14*DASHBOARD!$D14*0.01*'Lactalis (SA)'!$C12)+(DASHBOARD!$C14*DASHBOARD!$E14*0.01*'Lactalis (SA)'!$D12)+('Lactalis (SA)'!$E12*DASHBOARD!$C14*DASHBOARD!$D14*0.01)+('Lactalis (SA)'!$F12*DASHBOARD!$C14*DASHBOARD!$E14*0.01)</f>
        <v>74592</v>
      </c>
      <c r="V13" s="13">
        <f>(DASHBOARD!$C14*DASHBOARD!$D14*0.01*'Saputo (SW Vic &amp; SA)'!$C13)+(DASHBOARD!$C14*DASHBOARD!$E14*0.01*'Saputo (SW Vic &amp; SA)'!$D13)+('Saputo (SW Vic &amp; SA)'!$E13*DASHBOARD!$C14*DASHBOARD!$D14*0.01)+('Saputo (SW Vic &amp; SA)'!$F13*DASHBOARD!$C14*DASHBOARD!$E14*0.01)+('Saputo (SW Vic &amp; SA)'!$G13*DASHBOARD!$C14*DASHBOARD!$D14*0.01)+('Saputo (SW Vic &amp; SA)'!$H13*DASHBOARD!$C14*DASHBOARD!$E14*0.01)</f>
        <v>62816</v>
      </c>
      <c r="W13" s="13">
        <f>(DASHBOARD!$C14*DASHBOARD!$D14*0.01*'Saputo (SW Vic &amp; SA)'!$C34)+(DASHBOARD!$C14*DASHBOARD!$E14*0.01*'Saputo (SW Vic &amp; SA)'!$D34)</f>
        <v>57824</v>
      </c>
      <c r="X13" s="13">
        <f>(DASHBOARD!$C14*DASHBOARD!$D14*0.01*UDC!$C29)+(UDC!$D29*0.01*DASHBOARD!$C14*DASHBOARD!$E14)+(DASHBOARD!$F14*UDC!$E29)+(UDC!$F29)</f>
        <v>66110.400000000009</v>
      </c>
      <c r="Y13" s="13">
        <f>(UDC!$C15*DASHBOARD!$C14*DASHBOARD!$D14*0.01)+(UDC!$D15*DASHBOARD!$C14*DASHBOARD!$E14*0.01)+(UDC!$E15*DASHBOARD!$F14)+(UDC!$F15*DASHBOARD!$F14)</f>
        <v>59810.400000000001</v>
      </c>
      <c r="AA13" s="39" t="s">
        <v>69</v>
      </c>
      <c r="AB13" s="13">
        <f>(Brownes!$D13*DASHBOARD!$C14)+(Brownes!$E13*DASHBOARD!$C14)+(Brownes!$F13*DASHBOARD!$C14)-(Brownes!$G13*DASHBOARD!$C14)</f>
        <v>72500</v>
      </c>
      <c r="AC13" s="13">
        <f>('Lactalis (WA)'!$C12*DASHBOARD!$C14)+('Lactalis (WA)'!$D12*DASHBOARD!$C14)+('Lactalis (WA)'!$E12*DASHBOARD!$C14)+('Lactalis (WA)'!$F12*DASHBOARD!$C14)</f>
        <v>69000</v>
      </c>
      <c r="AD13" s="13">
        <f>('Coles (WA)'!$D14*DASHBOARD!$C14*DASHBOARD!$D14*0.01)+('Coles (WA)'!$E14*DASHBOARD!$C14*DASHBOARD!$E14*0.01)-('Coles (WA)'!$F14)</f>
        <v>74942</v>
      </c>
    </row>
    <row r="14" spans="3:30">
      <c r="C14" s="11"/>
      <c r="D14" s="39" t="s">
        <v>24</v>
      </c>
      <c r="E14" s="40">
        <f>(DASHBOARD!$C15*DASHBOARD!$D15*0.01*LaCasa!$C13)+(DASHBOARD!$C15*DASHBOARD!$E15*0.01*LaCasa!$D13)+(DASHBOARD!$C15*LaCasa!$E13)+(DASHBOARD!$F15*LaCasa!$F13)</f>
        <v>71228</v>
      </c>
      <c r="F14" s="40">
        <f>(DASHBOARD!$C15*DASHBOARD!$D15*0.01*'Coles (SA Central)'!$D15)+(DASHBOARD!$C15*DASHBOARD!$E15*0.01*'Coles (SA Central)'!$E15)-('Coles (SA Central)'!$F15)</f>
        <v>76787</v>
      </c>
      <c r="G14" s="40">
        <f>(DASHBOARD!$C15*DASHBOARD!$D15*0.01*'Saputo (SW Vic &amp; SA)'!$C14)+(DASHBOARD!$C15*DASHBOARD!$E15*0.01*'Saputo (SW Vic &amp; SA)'!$D14)+('Saputo (SW Vic &amp; SA)'!$E14*DASHBOARD!$C15*DASHBOARD!$D15*0.01)+('Saputo (SW Vic &amp; SA)'!$F14*DASHBOARD!$C15*DASHBOARD!$E15*0.01)+('Saputo (SW Vic &amp; SA)'!$G14*DASHBOARD!$C15*DASHBOARD!$D15*0.01)+('Saputo (SW Vic &amp; SA)'!$H14*DASHBOARD!$C15*DASHBOARD!$E15*0.01)</f>
        <v>62816</v>
      </c>
      <c r="H14" s="40">
        <f>(DASHBOARD!$C15*DASHBOARD!$D15*0.01*'Saputo (SW Vic &amp; SA)'!$C35)+(DASHBOARD!$C15*DASHBOARD!$E15*0.01*'Saputo (SW Vic &amp; SA)'!$D35)</f>
        <v>57824</v>
      </c>
      <c r="I14" s="40">
        <f>(DASHBOARD!$C15*DASHBOARD!$D15*0.01*'Lactalis (SA)'!$C13)+(DASHBOARD!$C15*DASHBOARD!$E15*0.01*'Lactalis (SA)'!$D13)+('Lactalis (SA)'!$E13*DASHBOARD!$C15*DASHBOARD!$D15*0.01)+('Lactalis (SA)'!$F13*DASHBOARD!$C15*DASHBOARD!$E15*0.01)</f>
        <v>74592</v>
      </c>
      <c r="J14" s="40">
        <f>(DASHBOARD!$C15*DASHBOARD!$D15*0.01*'Bega (SA Central)'!$D14)+(DASHBOARD!$C15*DASHBOARD!$E15*0.01*'Bega (SA Central)'!$E14)+('Bega (SA Central)'!$F14*DASHBOARD!$C15)-('Bega (SA Central)'!$G14)</f>
        <v>66894</v>
      </c>
      <c r="K14" s="13">
        <f>(DASHBOARD!$C15*'Fleurieu Milk'!$D14)</f>
        <v>83000</v>
      </c>
      <c r="L14" s="13">
        <f>('DFMC (SA)'!$D14*DASHBOARD!$C15*DASHBOARD!$D15*0.01)+('DFMC (SA)'!$E14*DASHBOARD!$C15*DASHBOARD!$E15*0.01)+('DFMC (SA)'!$F14*DASHBOARD!$C15)+('DFMC (SA)'!$G14*DASHBOARD!$F15)</f>
        <v>70092</v>
      </c>
      <c r="N14" s="39" t="s">
        <v>24</v>
      </c>
      <c r="O14" s="13">
        <f>(DASHBOARD!$C15*DASHBOARD!$D15*0.01*'Bega (SE SA &amp; West Vic)'!$D30)+('Bega (SE SA &amp; West Vic)'!$E30*0.01*DASHBOARD!$C15*DASHBOARD!$E15)</f>
        <v>57033.599999999999</v>
      </c>
      <c r="P14" s="13">
        <f>(DASHBOARD!$C15*DASHBOARD!$D15*0.01*'Bega (SE SA &amp; West Vic)'!$D44)+('Bega (SE SA &amp; West Vic)'!$E44*0.01*DASHBOARD!$C15*DASHBOARD!$E15)</f>
        <v>57240</v>
      </c>
      <c r="Q14" s="13">
        <f>('Bega (SE SA &amp; West Vic)'!$D14*DASHBOARD!$C15*DASHBOARD!$D15*0.01)+('Bega (SE SA &amp; West Vic)'!$E14*DASHBOARD!$C15*DASHBOARD!$E15*0.01)+('Bega (SE SA &amp; West Vic)'!$F14*DASHBOARD!$C15*DASHBOARD!$D15*0.01)+('Bega (SE SA &amp; West Vic)'!$G14*DASHBOARD!$C15*DASHBOARD!$E15*0.01)-('Bega (SE SA &amp; West Vic)'!$H14)</f>
        <v>56312</v>
      </c>
      <c r="R14" s="13">
        <f>('Coles (Vic, Riverina, &amp; SE SA)'!$D15*DASHBOARD!$C15*DASHBOARD!$D15*0.01)+('Coles (Vic, Riverina, &amp; SE SA)'!$E15*DASHBOARD!$C15*DASHBOARD!$E15*0.01)-('Coles (Vic, Riverina, &amp; SE SA)'!$F15)</f>
        <v>75435</v>
      </c>
      <c r="S14" s="13">
        <f>('Fonterra (SE SA &amp; West Vic)'!$H18*DASHBOARD!$C15*DASHBOARD!$D15*0.01)+('Fonterra (SE SA &amp; West Vic)'!$I18*DASHBOARD!$C15*DASHBOARD!$E15*0.01)+('Fonterra (SE SA &amp; West Vic)'!$J18*DASHBOARD!$C15*DASHBOARD!$D15*0.01)+('Fonterra (SE SA &amp; West Vic)'!$K18*DASHBOARD!$C15*DASHBOARD!$E15*0.01)+('Fonterra (SE SA &amp; West Vic)'!$L18*DASHBOARD!$C15*DASHBOARD!$D15*0.01)+('Fonterra (SE SA &amp; West Vic)'!$M18*DASHBOARD!$C15*DASHBOARD!$E15*0.01)</f>
        <v>68825.600000000006</v>
      </c>
      <c r="T14" s="13">
        <f>(DASHBOARD!$C15*DASHBOARD!$D15*0.01*'Fonterra (SE SA &amp; West Vic)'!$H34)+('Fonterra (SE SA &amp; West Vic)'!$I34*DASHBOARD!$C15*DASHBOARD!$E15*0.01)+('Fonterra (SE SA &amp; West Vic)'!$J34*DASHBOARD!$C15*DASHBOARD!$D15*0.01)+('Fonterra (SE SA &amp; West Vic)'!$K34*DASHBOARD!$C15*DASHBOARD!$E15*0.01)+('Fonterra (SE SA &amp; West Vic)'!$L34*DASHBOARD!$C15*DASHBOARD!$D15*0.01)+('Fonterra (SE SA &amp; West Vic)'!$M34*DASHBOARD!$C15*DASHBOARD!$E15*0.01)</f>
        <v>71969.600000000006</v>
      </c>
      <c r="U14" s="13">
        <f>(DASHBOARD!$C15*DASHBOARD!$D15*0.01*'Lactalis (SA)'!$C13)+(DASHBOARD!$C15*DASHBOARD!$E15*0.01*'Lactalis (SA)'!$D13)+('Lactalis (SA)'!$E13*DASHBOARD!$C15*DASHBOARD!$D15*0.01)+('Lactalis (SA)'!$F13*DASHBOARD!$C15*DASHBOARD!$E15*0.01)</f>
        <v>74592</v>
      </c>
      <c r="V14" s="13">
        <f>(DASHBOARD!$C15*DASHBOARD!$D15*0.01*'Saputo (SW Vic &amp; SA)'!$C14)+(DASHBOARD!$C15*DASHBOARD!$E15*0.01*'Saputo (SW Vic &amp; SA)'!$D14)+('Saputo (SW Vic &amp; SA)'!$E14*DASHBOARD!$C15*DASHBOARD!$D15*0.01)+('Saputo (SW Vic &amp; SA)'!$F14*DASHBOARD!$C15*DASHBOARD!$E15*0.01)+('Saputo (SW Vic &amp; SA)'!$G14*DASHBOARD!$C15*DASHBOARD!$D15*0.01)+('Saputo (SW Vic &amp; SA)'!$H14*DASHBOARD!$C15*DASHBOARD!$E15*0.01)</f>
        <v>62816</v>
      </c>
      <c r="W14" s="13">
        <f>(DASHBOARD!$C15*DASHBOARD!$D15*0.01*'Saputo (SW Vic &amp; SA)'!$C35)+(DASHBOARD!$C15*DASHBOARD!$E15*0.01*'Saputo (SW Vic &amp; SA)'!$D35)</f>
        <v>57824</v>
      </c>
      <c r="X14" s="13">
        <f>(DASHBOARD!$C15*DASHBOARD!$D15*0.01*UDC!$C30)+(UDC!$D30*0.01*DASHBOARD!$C15*DASHBOARD!$E15)+(DASHBOARD!$F15*UDC!$E30)+(UDC!$F30)</f>
        <v>66110.400000000009</v>
      </c>
      <c r="Y14" s="13">
        <f>(UDC!$C16*DASHBOARD!$C15*DASHBOARD!$D15*0.01)+(UDC!$D16*DASHBOARD!$C15*DASHBOARD!$E15*0.01)+(UDC!$E16*DASHBOARD!$F15)+(UDC!$F16*DASHBOARD!$F15)</f>
        <v>59810.400000000001</v>
      </c>
      <c r="AA14" s="39" t="s">
        <v>24</v>
      </c>
      <c r="AB14" s="13">
        <f>(Brownes!$D14*DASHBOARD!$C15)+(Brownes!$E14*DASHBOARD!$C15)+(Brownes!$F14*DASHBOARD!$C15)-(Brownes!$G14*DASHBOARD!$C15)</f>
        <v>70000</v>
      </c>
      <c r="AC14" s="13">
        <f>('Lactalis (WA)'!$C13*DASHBOARD!$C15)+('Lactalis (WA)'!$D13*DASHBOARD!$C15)+('Lactalis (WA)'!$E13*DASHBOARD!$C15)+('Lactalis (WA)'!$F13*DASHBOARD!$C15)</f>
        <v>68000</v>
      </c>
      <c r="AD14" s="13">
        <f>('Coles (WA)'!$D15*DASHBOARD!$C15*DASHBOARD!$D15*0.01)+('Coles (WA)'!$E15*DASHBOARD!$C15*DASHBOARD!$E15*0.01)-('Coles (WA)'!$F15)</f>
        <v>74867</v>
      </c>
    </row>
    <row r="15" spans="3:30">
      <c r="C15" s="11"/>
      <c r="D15" s="39" t="s">
        <v>70</v>
      </c>
      <c r="E15" s="40">
        <f>(DASHBOARD!$C16*DASHBOARD!$D16*0.01*LaCasa!$C14)+(DASHBOARD!$C16*DASHBOARD!$E16*0.01*LaCasa!$D14)+(DASHBOARD!$C16*LaCasa!$E14)+(DASHBOARD!$F16*LaCasa!$F14)</f>
        <v>72460</v>
      </c>
      <c r="F15" s="40">
        <f>(DASHBOARD!$C16*DASHBOARD!$D16*0.01*'Coles (SA Central)'!$D16)+(DASHBOARD!$C16*DASHBOARD!$E16*0.01*'Coles (SA Central)'!$E16)-('Coles (SA Central)'!$F16)</f>
        <v>76787</v>
      </c>
      <c r="G15" s="40">
        <f>(DASHBOARD!$C16*DASHBOARD!$D16*0.01*'Saputo (SW Vic &amp; SA)'!$C15)+(DASHBOARD!$C16*DASHBOARD!$E16*0.01*'Saputo (SW Vic &amp; SA)'!$D15)+('Saputo (SW Vic &amp; SA)'!$E15*DASHBOARD!$C16*DASHBOARD!$D16*0.01)+('Saputo (SW Vic &amp; SA)'!$F15*DASHBOARD!$C16*DASHBOARD!$E16*0.01)+('Saputo (SW Vic &amp; SA)'!$G15*DASHBOARD!$C16*DASHBOARD!$D16*0.01)+('Saputo (SW Vic &amp; SA)'!$H15*DASHBOARD!$C16*DASHBOARD!$E16*0.01)</f>
        <v>62816</v>
      </c>
      <c r="H15" s="40">
        <f>(DASHBOARD!$C16*DASHBOARD!$D16*0.01*'Saputo (SW Vic &amp; SA)'!$C36)+(DASHBOARD!$C16*DASHBOARD!$E16*0.01*'Saputo (SW Vic &amp; SA)'!$D36)</f>
        <v>57824</v>
      </c>
      <c r="I15" s="40">
        <f>(DASHBOARD!$C16*DASHBOARD!$D16*0.01*'Lactalis (SA)'!$C14)+(DASHBOARD!$C16*DASHBOARD!$E16*0.01*'Lactalis (SA)'!$D14)+('Lactalis (SA)'!$E14*DASHBOARD!$C16*DASHBOARD!$D16*0.01)+('Lactalis (SA)'!$F14*DASHBOARD!$C16*DASHBOARD!$E16*0.01)</f>
        <v>74592</v>
      </c>
      <c r="J15" s="40">
        <f>(DASHBOARD!$C16*DASHBOARD!$D16*0.01*'Bega (SA Central)'!$D15)+(DASHBOARD!$C16*DASHBOARD!$E16*0.01*'Bega (SA Central)'!$E15)+('Bega (SA Central)'!$F15*DASHBOARD!$C16)-('Bega (SA Central)'!$G15)</f>
        <v>66894</v>
      </c>
      <c r="K15" s="13">
        <f>(DASHBOARD!$C16*'Fleurieu Milk'!$D15)</f>
        <v>80000</v>
      </c>
      <c r="L15" s="13">
        <f>('DFMC (SA)'!$D15*DASHBOARD!$C16*DASHBOARD!$D16*0.01)+('DFMC (SA)'!$E15*DASHBOARD!$C16*DASHBOARD!$E16*0.01)+('DFMC (SA)'!$F15*DASHBOARD!$C16)+('DFMC (SA)'!$G15*DASHBOARD!$F16)</f>
        <v>70092</v>
      </c>
      <c r="N15" s="39" t="s">
        <v>70</v>
      </c>
      <c r="O15" s="13">
        <f>(DASHBOARD!$C16*DASHBOARD!$D16*0.01*'Bega (SE SA &amp; West Vic)'!$D31)+('Bega (SE SA &amp; West Vic)'!$E31*0.01*DASHBOARD!$C16*DASHBOARD!$E16)</f>
        <v>57033.599999999999</v>
      </c>
      <c r="P15" s="13">
        <f>(DASHBOARD!$C16*DASHBOARD!$D16*0.01*'Bega (SE SA &amp; West Vic)'!$D45)+('Bega (SE SA &amp; West Vic)'!$E45*0.01*DASHBOARD!$C16*DASHBOARD!$E16)</f>
        <v>57240</v>
      </c>
      <c r="Q15" s="13">
        <f>('Bega (SE SA &amp; West Vic)'!$D15*DASHBOARD!$C16*DASHBOARD!$D16*0.01)+('Bega (SE SA &amp; West Vic)'!$E15*DASHBOARD!$C16*DASHBOARD!$E16*0.01)+('Bega (SE SA &amp; West Vic)'!$F15*DASHBOARD!$C16*DASHBOARD!$D16*0.01)+('Bega (SE SA &amp; West Vic)'!$G15*DASHBOARD!$C16*DASHBOARD!$E16*0.01)-('Bega (SE SA &amp; West Vic)'!$H15)</f>
        <v>56312</v>
      </c>
      <c r="R15" s="13">
        <f>('Coles (Vic, Riverina, &amp; SE SA)'!$D16*DASHBOARD!$C16*DASHBOARD!$D16*0.01)+('Coles (Vic, Riverina, &amp; SE SA)'!$E16*DASHBOARD!$C16*DASHBOARD!$E16*0.01)-('Coles (Vic, Riverina, &amp; SE SA)'!$F16)</f>
        <v>75435</v>
      </c>
      <c r="S15" s="13">
        <f>('Fonterra (SE SA &amp; West Vic)'!$H19*DASHBOARD!$C16*DASHBOARD!$D16*0.01)+('Fonterra (SE SA &amp; West Vic)'!$I19*DASHBOARD!$C16*DASHBOARD!$E16*0.01)+('Fonterra (SE SA &amp; West Vic)'!$J19*DASHBOARD!$C16*DASHBOARD!$D16*0.01)+('Fonterra (SE SA &amp; West Vic)'!$K19*DASHBOARD!$C16*DASHBOARD!$E16*0.01)+('Fonterra (SE SA &amp; West Vic)'!$L19*DASHBOARD!$C16*DASHBOARD!$D16*0.01)+('Fonterra (SE SA &amp; West Vic)'!$M19*DASHBOARD!$C16*DASHBOARD!$E16*0.01)</f>
        <v>68825.600000000006</v>
      </c>
      <c r="T15" s="13">
        <f>(DASHBOARD!$C16*DASHBOARD!$D16*0.01*'Fonterra (SE SA &amp; West Vic)'!$H35)+('Fonterra (SE SA &amp; West Vic)'!$I35*DASHBOARD!$C16*DASHBOARD!$E16*0.01)+('Fonterra (SE SA &amp; West Vic)'!$J35*DASHBOARD!$C16*DASHBOARD!$D16*0.01)+('Fonterra (SE SA &amp; West Vic)'!$K35*DASHBOARD!$C16*DASHBOARD!$E16*0.01)+('Fonterra (SE SA &amp; West Vic)'!$L35*DASHBOARD!$C16*DASHBOARD!$D16*0.01)+('Fonterra (SE SA &amp; West Vic)'!$M35*DASHBOARD!$C16*DASHBOARD!$E16*0.01)</f>
        <v>73345.600000000006</v>
      </c>
      <c r="U15" s="13">
        <f>(DASHBOARD!$C16*DASHBOARD!$D16*0.01*'Lactalis (SA)'!$C14)+(DASHBOARD!$C16*DASHBOARD!$E16*0.01*'Lactalis (SA)'!$D14)+('Lactalis (SA)'!$E14*DASHBOARD!$C16*DASHBOARD!$D16*0.01)+('Lactalis (SA)'!$F14*DASHBOARD!$C16*DASHBOARD!$E16*0.01)</f>
        <v>74592</v>
      </c>
      <c r="V15" s="13">
        <f>(DASHBOARD!$C16*DASHBOARD!$D16*0.01*'Saputo (SW Vic &amp; SA)'!$C15)+(DASHBOARD!$C16*DASHBOARD!$E16*0.01*'Saputo (SW Vic &amp; SA)'!$D15)+('Saputo (SW Vic &amp; SA)'!$E15*DASHBOARD!$C16*DASHBOARD!$D16*0.01)+('Saputo (SW Vic &amp; SA)'!$F15*DASHBOARD!$C16*DASHBOARD!$E16*0.01)+('Saputo (SW Vic &amp; SA)'!$G15*DASHBOARD!$C16*DASHBOARD!$D16*0.01)+('Saputo (SW Vic &amp; SA)'!$H15*DASHBOARD!$C16*DASHBOARD!$E16*0.01)</f>
        <v>62816</v>
      </c>
      <c r="W15" s="13">
        <f>(DASHBOARD!$C16*DASHBOARD!$D16*0.01*'Saputo (SW Vic &amp; SA)'!$C36)+(DASHBOARD!$C16*DASHBOARD!$E16*0.01*'Saputo (SW Vic &amp; SA)'!$D36)</f>
        <v>57824</v>
      </c>
      <c r="X15" s="13">
        <f>(DASHBOARD!$C16*DASHBOARD!$D16*0.01*UDC!$C31)+(UDC!$D31*0.01*DASHBOARD!$C16*DASHBOARD!$E16)+(DASHBOARD!$F16*UDC!$E31)+(UDC!$F31)</f>
        <v>66110.400000000009</v>
      </c>
      <c r="Y15" s="13">
        <f>(UDC!$C17*DASHBOARD!$C16*DASHBOARD!$D16*0.01)+(UDC!$D17*DASHBOARD!$C16*DASHBOARD!$E16*0.01)+(UDC!$E17*DASHBOARD!$F16)+(UDC!$F17*DASHBOARD!$F16)</f>
        <v>59810.400000000001</v>
      </c>
      <c r="AA15" s="39" t="s">
        <v>70</v>
      </c>
      <c r="AB15" s="13">
        <f>(Brownes!$D15*DASHBOARD!$C16)+(Brownes!$E15*DASHBOARD!$C16)+(Brownes!$F15*DASHBOARD!$C16)-(Brownes!$G15*DASHBOARD!$C16)</f>
        <v>70000</v>
      </c>
      <c r="AC15" s="13">
        <f>('Lactalis (WA)'!$C14*DASHBOARD!$C16)+('Lactalis (WA)'!$D14*DASHBOARD!$C16)+('Lactalis (WA)'!$E14*DASHBOARD!$C16)+('Lactalis (WA)'!$F14*DASHBOARD!$C16)</f>
        <v>62170</v>
      </c>
      <c r="AD15" s="13">
        <f>('Coles (WA)'!$D16*DASHBOARD!$C16*DASHBOARD!$D16*0.01)+('Coles (WA)'!$E16*DASHBOARD!$C16*DASHBOARD!$E16*0.01)-('Coles (WA)'!$F16)</f>
        <v>74867</v>
      </c>
    </row>
    <row r="16" spans="3:30">
      <c r="C16" s="11"/>
      <c r="D16" s="11"/>
      <c r="E16" s="37"/>
      <c r="F16" s="7"/>
      <c r="G16" s="7"/>
      <c r="H16" s="7"/>
      <c r="I16" s="41"/>
      <c r="J16" s="9"/>
      <c r="K16" s="9"/>
      <c r="L16" s="9"/>
      <c r="N16" s="11"/>
      <c r="O16" s="37"/>
      <c r="P16" s="37"/>
      <c r="Q16" s="37"/>
      <c r="R16" s="7"/>
      <c r="S16" s="9"/>
      <c r="T16" s="9"/>
      <c r="U16" s="7"/>
      <c r="V16" s="7"/>
      <c r="W16" s="7"/>
      <c r="X16" s="9"/>
      <c r="Y16" s="9"/>
      <c r="AA16" s="11"/>
      <c r="AB16" s="37"/>
      <c r="AC16" s="7"/>
      <c r="AD16" s="7"/>
    </row>
    <row r="17" spans="3:35">
      <c r="C17" s="12" t="s">
        <v>26</v>
      </c>
      <c r="D17" s="36"/>
      <c r="E17" s="38">
        <f t="shared" ref="E17:G17" si="0">SUM(E4:E15)</f>
        <v>784672</v>
      </c>
      <c r="F17" s="14">
        <f t="shared" si="0"/>
        <v>874214</v>
      </c>
      <c r="G17" s="14">
        <f t="shared" si="0"/>
        <v>712712</v>
      </c>
      <c r="H17" s="14">
        <f t="shared" ref="H17" si="1">SUM(H4:H15)</f>
        <v>693888</v>
      </c>
      <c r="I17" s="14">
        <f>SUM(I4:I15)</f>
        <v>821688</v>
      </c>
      <c r="J17" s="14">
        <f>SUM(J4:J15)</f>
        <v>776036</v>
      </c>
      <c r="K17" s="15">
        <f>SUM(K4:K15)</f>
        <v>912000</v>
      </c>
      <c r="L17" s="15">
        <f t="shared" ref="L17" si="2">SUM(L4:L15)</f>
        <v>770376</v>
      </c>
      <c r="N17" s="36"/>
      <c r="O17" s="38">
        <f t="shared" ref="O17:Q17" si="3">SUM(O4:O15)</f>
        <v>684403.19999999984</v>
      </c>
      <c r="P17" s="38">
        <f t="shared" si="3"/>
        <v>686880</v>
      </c>
      <c r="Q17" s="38">
        <f t="shared" si="3"/>
        <v>664809.60000000009</v>
      </c>
      <c r="R17" s="38">
        <f>SUM(R4:R15)</f>
        <v>858534</v>
      </c>
      <c r="S17" s="38">
        <f>SUM(S4:S15)</f>
        <v>805267.19999999984</v>
      </c>
      <c r="T17" s="38">
        <f>SUM(T4:T15)</f>
        <v>808787.19999999984</v>
      </c>
      <c r="U17" s="38">
        <f>SUM(U4:U15)</f>
        <v>821688</v>
      </c>
      <c r="V17" s="38">
        <f>SUM(V4:V15)</f>
        <v>712712</v>
      </c>
      <c r="W17" s="38">
        <f>SUM(W4:W15)</f>
        <v>693888</v>
      </c>
      <c r="X17" s="38">
        <f t="shared" ref="X17" si="4">SUM(X4:X15)</f>
        <v>760924.80000000016</v>
      </c>
      <c r="Y17" s="38">
        <f>SUM(Y4:Y15)</f>
        <v>681724.80000000016</v>
      </c>
      <c r="AA17" s="36"/>
      <c r="AB17" s="38">
        <f t="shared" ref="AB17:AD17" si="5">SUM(AB4:AB15)</f>
        <v>803000</v>
      </c>
      <c r="AC17" s="38">
        <f t="shared" si="5"/>
        <v>741800</v>
      </c>
      <c r="AD17" s="38">
        <f t="shared" si="5"/>
        <v>852582</v>
      </c>
    </row>
    <row r="18" spans="3:35">
      <c r="D18" s="43" t="s">
        <v>71</v>
      </c>
      <c r="E18" s="42">
        <f>E17/DASHBOARD!$C$18</f>
        <v>0.65389333333333333</v>
      </c>
      <c r="F18" s="42">
        <f>F17/DASHBOARD!$C$18</f>
        <v>0.72851166666666667</v>
      </c>
      <c r="G18" s="42">
        <f>G17/DASHBOARD!$C$18</f>
        <v>0.59392666666666671</v>
      </c>
      <c r="H18" s="42">
        <f>H17/DASHBOARD!$C$18</f>
        <v>0.57823999999999998</v>
      </c>
      <c r="I18" s="42">
        <f>I17/DASHBOARD!$C$18</f>
        <v>0.68474000000000002</v>
      </c>
      <c r="J18" s="42">
        <f>J17/DASHBOARD!$C$18</f>
        <v>0.6466966666666667</v>
      </c>
      <c r="K18" s="42">
        <f>K17/DASHBOARD!$C$18</f>
        <v>0.76</v>
      </c>
      <c r="L18" s="42">
        <f>L17/DASHBOARD!$C$18</f>
        <v>0.64198</v>
      </c>
      <c r="O18" s="42">
        <f>O17/DASHBOARD!$C$18</f>
        <v>0.57033599999999984</v>
      </c>
      <c r="P18" s="42">
        <f>P17/DASHBOARD!$C$18</f>
        <v>0.57240000000000002</v>
      </c>
      <c r="Q18" s="42">
        <f>Q17/DASHBOARD!$C$18</f>
        <v>0.55400800000000006</v>
      </c>
      <c r="R18" s="42">
        <f>R17/DASHBOARD!$C$18</f>
        <v>0.715445</v>
      </c>
      <c r="S18" s="42">
        <f>S17/DASHBOARD!$C$18</f>
        <v>0.67105599999999987</v>
      </c>
      <c r="T18" s="42">
        <f>T17/DASHBOARD!$C$18</f>
        <v>0.67398933333333322</v>
      </c>
      <c r="U18" s="42">
        <f>U17/DASHBOARD!$C$18</f>
        <v>0.68474000000000002</v>
      </c>
      <c r="V18" s="42">
        <f>V17/DASHBOARD!$C$18</f>
        <v>0.59392666666666671</v>
      </c>
      <c r="W18" s="42">
        <f>W17/DASHBOARD!$C$18</f>
        <v>0.57823999999999998</v>
      </c>
      <c r="X18" s="42">
        <f>X17/DASHBOARD!$C$18</f>
        <v>0.63410400000000011</v>
      </c>
      <c r="Y18" s="42">
        <f>Y17/DASHBOARD!$C$18</f>
        <v>0.56810400000000016</v>
      </c>
      <c r="AA18" s="42"/>
      <c r="AB18" s="42">
        <f>AB17/DASHBOARD!$C$18</f>
        <v>0.66916666666666669</v>
      </c>
      <c r="AC18" s="42">
        <f>AC17/DASHBOARD!$C$18</f>
        <v>0.61816666666666664</v>
      </c>
      <c r="AD18" s="42">
        <f>AD17/DASHBOARD!$C$18</f>
        <v>0.71048500000000003</v>
      </c>
    </row>
    <row r="19" spans="3:35">
      <c r="D19" s="43" t="s">
        <v>72</v>
      </c>
      <c r="E19" s="42">
        <f>E17/DASHBOARD!$F$18</f>
        <v>9.0818518518518498</v>
      </c>
      <c r="F19" s="42">
        <f>F17/DASHBOARD!$F$18</f>
        <v>10.118217592592591</v>
      </c>
      <c r="G19" s="42">
        <f>G17/DASHBOARD!$F$18</f>
        <v>8.2489814814814792</v>
      </c>
      <c r="H19" s="42">
        <f>H17/DASHBOARD!$F$18</f>
        <v>8.0311111111111106</v>
      </c>
      <c r="I19" s="42">
        <f>I17/DASHBOARD!$F$18</f>
        <v>9.5102777777777767</v>
      </c>
      <c r="J19" s="42">
        <f>J17/DASHBOARD!$F$18</f>
        <v>8.9818981481481472</v>
      </c>
      <c r="K19" s="42">
        <f>K17/DASHBOARD!$F$18</f>
        <v>10.555555555555554</v>
      </c>
      <c r="L19" s="42">
        <f>L17/DASHBOARD!$F$18</f>
        <v>8.9163888888888874</v>
      </c>
      <c r="M19" s="42"/>
      <c r="N19" s="42"/>
      <c r="O19" s="42">
        <f>O17/DASHBOARD!$F$18</f>
        <v>7.9213333333333305</v>
      </c>
      <c r="P19" s="42">
        <f>P17/DASHBOARD!$F$18</f>
        <v>7.9499999999999984</v>
      </c>
      <c r="Q19" s="42">
        <f>Q17/DASHBOARD!$F$18</f>
        <v>7.6945555555555556</v>
      </c>
      <c r="R19" s="42">
        <f>R17/DASHBOARD!$F$18</f>
        <v>9.9367361111111094</v>
      </c>
      <c r="S19" s="42">
        <f>S17/DASHBOARD!$F$18</f>
        <v>9.3202222222222186</v>
      </c>
      <c r="T19" s="42">
        <f>T17/DASHBOARD!$F$18</f>
        <v>9.3609629629629598</v>
      </c>
      <c r="U19" s="42">
        <f>U17/DASHBOARD!$F$18</f>
        <v>9.5102777777777767</v>
      </c>
      <c r="V19" s="42">
        <f>V17/DASHBOARD!$F$18</f>
        <v>8.2489814814814792</v>
      </c>
      <c r="W19" s="42">
        <f>W17/DASHBOARD!$F$18</f>
        <v>8.0311111111111106</v>
      </c>
      <c r="X19" s="42">
        <f>X17/DASHBOARD!$F$18</f>
        <v>8.8070000000000004</v>
      </c>
      <c r="Y19" s="42">
        <f>Y17/DASHBOARD!$F$18</f>
        <v>7.8903333333333343</v>
      </c>
      <c r="AA19" s="42"/>
      <c r="AB19" s="42">
        <f>AB17/DASHBOARD!$F$18</f>
        <v>9.2939814814814792</v>
      </c>
      <c r="AC19" s="42">
        <f>AC17/DASHBOARD!$F$18</f>
        <v>8.585648148148147</v>
      </c>
      <c r="AD19" s="42">
        <f>AD17/DASHBOARD!$F$18</f>
        <v>9.8678472222222204</v>
      </c>
    </row>
    <row r="22" spans="3:35" ht="60.75">
      <c r="C22" s="17" t="s">
        <v>35</v>
      </c>
      <c r="D22" s="35" t="s">
        <v>73</v>
      </c>
      <c r="E22" s="10" t="s">
        <v>74</v>
      </c>
      <c r="F22" s="10" t="s">
        <v>75</v>
      </c>
      <c r="G22" s="10" t="s">
        <v>76</v>
      </c>
      <c r="H22" s="10" t="s">
        <v>77</v>
      </c>
      <c r="I22" s="10" t="s">
        <v>78</v>
      </c>
      <c r="J22" s="10" t="s">
        <v>79</v>
      </c>
      <c r="K22" s="10" t="s">
        <v>80</v>
      </c>
      <c r="L22" s="10" t="s">
        <v>81</v>
      </c>
      <c r="N22" s="35" t="s">
        <v>82</v>
      </c>
      <c r="O22" s="10" t="s">
        <v>83</v>
      </c>
      <c r="P22" s="10" t="s">
        <v>84</v>
      </c>
      <c r="Q22" s="131" t="s">
        <v>85</v>
      </c>
      <c r="R22" s="131" t="s">
        <v>86</v>
      </c>
      <c r="S22" s="131" t="s">
        <v>87</v>
      </c>
      <c r="T22" s="10" t="s">
        <v>88</v>
      </c>
      <c r="U22" s="10" t="s">
        <v>89</v>
      </c>
      <c r="V22" s="10" t="s">
        <v>90</v>
      </c>
      <c r="W22" s="10" t="s">
        <v>91</v>
      </c>
      <c r="X22" s="10" t="s">
        <v>92</v>
      </c>
      <c r="Y22" s="10" t="s">
        <v>93</v>
      </c>
      <c r="Z22" s="10" t="s">
        <v>94</v>
      </c>
      <c r="AA22" s="10" t="s">
        <v>95</v>
      </c>
      <c r="AB22" s="131" t="s">
        <v>49</v>
      </c>
      <c r="AC22" s="131" t="s">
        <v>50</v>
      </c>
      <c r="AD22" s="131" t="s">
        <v>96</v>
      </c>
      <c r="AE22" s="131" t="s">
        <v>97</v>
      </c>
      <c r="AF22" s="10" t="s">
        <v>98</v>
      </c>
      <c r="AG22" s="131" t="s">
        <v>99</v>
      </c>
      <c r="AH22" s="131" t="s">
        <v>100</v>
      </c>
      <c r="AI22" s="131" t="s">
        <v>101</v>
      </c>
    </row>
    <row r="23" spans="3:35">
      <c r="C23" s="11"/>
      <c r="D23" s="39" t="s">
        <v>60</v>
      </c>
      <c r="E23" s="13">
        <f>('Bega (Tas)'!$D4*DASHBOARD!$C5*DASHBOARD!$D5*0.01)+('Bega (Tas)'!$E4*DASHBOARD!$C5*DASHBOARD!$E5*0.01)+('Bega (Tas)'!$F4*DASHBOARD!$C5)-('Bega (Tas)'!$G4)</f>
        <v>82206</v>
      </c>
      <c r="F23" s="13">
        <f>('Coles (Tas)'!$D5*DASHBOARD!$C5*DASHBOARD!$D5*0.01)+('Coles (Tas)'!$E5*DASHBOARD!$C5*DASHBOARD!$E5*0.01)-('Coles (Tas)'!$F5)</f>
        <v>75435</v>
      </c>
      <c r="G23" s="13">
        <f>('Fonterra (Tas)'!$G3*DASHBOARD!$C5*DASHBOARD!$D5*0.01)+('Fonterra (Tas)'!$H3*DASHBOARD!$C5*DASHBOARD!$E5*0.01)+('Fonterra (Tas)'!$I3*DASHBOARD!$C5*DASHBOARD!$D5*0.01)+('Fonterra (Tas)'!$J3*DASHBOARD!$C5*DASHBOARD!$E5*0.01)+('Fonterra (Tas)'!$K3*DASHBOARD!$C5*DASHBOARD!$D5*0.01)+('Fonterra (Tas)'!$L3*DASHBOARD!$C5*DASHBOARD!$E5*0.01)</f>
        <v>56849.599999999999</v>
      </c>
      <c r="H23" s="13">
        <f>(DASHBOARD!$C5*DASHBOARD!$D5*0.01*'Fonterra (Tas)'!$G19)+('Fonterra (Tas)'!$H19*DASHBOARD!$C5*DASHBOARD!$E5*0.01)+('Fonterra (Tas)'!$I19*DASHBOARD!$C5*DASHBOARD!$D5*0.01)+(DASHBOARD!$C5*DASHBOARD!$E5*0.01*'Fonterra (Tas)'!$J19)+('Fonterra (Tas)'!$K19*DASHBOARD!$C5*DASHBOARD!$D5*0.01)+('Fonterra (Tas)'!$L19*DASHBOARD!$C5*DASHBOARD!$E5*0.01)</f>
        <v>57801.599999999999</v>
      </c>
      <c r="I23" s="13">
        <f>('Lactalis (Vic, Tas, &amp; Riverina)'!$C8*DASHBOARD!$C5*DASHBOARD!$D5*0.01)+('Lactalis (Vic, Tas, &amp; Riverina)'!$D8*DASHBOARD!$C5*DASHBOARD!$E5*0.01)+('Lactalis (Vic, Tas, &amp; Riverina)'!$E8*DASHBOARD!$C5*DASHBOARD!$D5*0.01)+('Lactalis (Vic, Tas, &amp; Riverina)'!$F8*DASHBOARD!$C5*DASHBOARD!$E5*0.01)</f>
        <v>60120</v>
      </c>
      <c r="J23" s="13">
        <f>(Mondelez!$D4*DASHBOARD!$F5)+(Mondelez!$E4*DASHBOARD!$F5)</f>
        <v>40694.400000000009</v>
      </c>
      <c r="K23" s="13">
        <f>('Saputo (Tas)'!$C4*DASHBOARD!$C5*DASHBOARD!$D5*0.01)+('Saputo (Tas)'!$D4*DASHBOARD!$C5*DASHBOARD!$E5*0.01)+('Saputo (Tas)'!$E4*DASHBOARD!$C5*DASHBOARD!$D5*0.01)+('Saputo (Tas)'!$F4*DASHBOARD!$C5*DASHBOARD!$E5*0.01)+('Saputo (Tas)'!$G4*DASHBOARD!$C5*DASHBOARD!$D5*0.01)+('Saputo (Tas)'!$H5*DASHBOARD!$C5*DASHBOARD!$E5*0.01)</f>
        <v>61776</v>
      </c>
      <c r="L23" s="13">
        <f>(DASHBOARD!$C5*DASHBOARD!$D5*0.01*'Saputo (Tas)'!$C24)+(DASHBOARD!$C5*DASHBOARD!$E5*0.01*'Saputo (Tas)'!$D24)</f>
        <v>56784</v>
      </c>
      <c r="N23" s="39" t="s">
        <v>60</v>
      </c>
      <c r="O23" s="13">
        <f>(ACM!$D4*DASHBOARD!$D5*DASHBOARD!$C5*0.01)+(ACM!$E4*DASHBOARD!$E5*DASHBOARD!$C5*0.01)+(ACM!$F4*DASHBOARD!$C5)</f>
        <v>57564</v>
      </c>
      <c r="P23" s="13">
        <f>(ADFC!$C4*0.01*DASHBOARD!$C5*DASHBOARD!$D5)+(ADFC!$D4*0.01*DASHBOARD!$C5*DASHBOARD!$E5)+(ADFC!$E4*DASHBOARD!$C5*DASHBOARD!$D5*0.01)+(ADFC!$F4*DASHBOARD!$E5*DASHBOARD!$C5*0.01)</f>
        <v>55440</v>
      </c>
      <c r="Q23" s="13">
        <f>(DASHBOARD!$C5*DASHBOARD!$D5*0.01*'Bega (SE SA &amp; West Vic)'!$D34)+('Bega (SE SA &amp; West Vic)'!$E34*0.01*DASHBOARD!$C5*DASHBOARD!$E5)</f>
        <v>57240</v>
      </c>
      <c r="R23" s="13">
        <f>(DASHBOARD!$C5*DASHBOARD!$D5*0.01*'Bega (SE SA &amp; West Vic)'!$D20)+('Bega (SE SA &amp; West Vic)'!$E20*0.01*DASHBOARD!$C5*DASHBOARD!$E5)</f>
        <v>57033.599999999999</v>
      </c>
      <c r="S23" s="13">
        <f>('Bega (SE SA &amp; West Vic)'!$D4*DASHBOARD!$C5*DASHBOARD!$D5*0.01)+('Bega (SE SA &amp; West Vic)'!$E4*DASHBOARD!$C5*DASHBOARD!$E5*0.01)+('Bega (SE SA &amp; West Vic)'!$F4*DASHBOARD!$C5*DASHBOARD!$D5*0.01)+('Bega (SE SA &amp; West Vic)'!$G4*DASHBOARD!$C5*DASHBOARD!$E5*0.01)-('Bega (SE SA &amp; West Vic)'!$H4)</f>
        <v>56312</v>
      </c>
      <c r="T23" s="13">
        <f>(Bulla!$C3*DASHBOARD!$F5)</f>
        <v>62280.000000000007</v>
      </c>
      <c r="U23" s="13">
        <f>(Bulla!$C17*DASHBOARD!$C5*DASHBOARD!$D5*0.01)+(Bulla!$D17*DASHBOARD!$C5*DASHBOARD!$E5*0.01)</f>
        <v>62278.400000000001</v>
      </c>
      <c r="V23" s="13">
        <f>('Coles (Vic, Riverina, &amp; SE SA)'!$D5*DASHBOARD!$C5*DASHBOARD!$D5*0.01)+('Coles (Vic, Riverina, &amp; SE SA)'!$E5*DASHBOARD!$C5*DASHBOARD!$E5*0.01)-('Coles (Vic, Riverina, &amp; SE SA)'!$F5)</f>
        <v>75435</v>
      </c>
      <c r="W23" s="13">
        <f>('DFMC (Vic)'!$F25*DASHBOARD!$C5*DASHBOARD!$D5*0.01)+('DFMC (Vic)'!$G25*DASHBOARD!$C5*DASHBOARD!$E5*0.01)+('DFMC (Vic)'!$H25*DASHBOARD!$F5)</f>
        <v>55191.200000000004</v>
      </c>
      <c r="X23" s="13">
        <f>('DFMC (Vic)'!$F39*DASHBOARD!$C5*DASHBOARD!$D5*0.01)+('DFMC (Vic)'!$G39*DASHBOARD!$C5*DASHBOARD!$E5*0.01)</f>
        <v>55190.400000000001</v>
      </c>
      <c r="Y23" s="13">
        <f>('DFMC (Vic)'!$F5*DASHBOARD!$C5*DASHBOARD!$D5*0.01)+('DFMC (Vic)'!$G5*DASHBOARD!$C5*DASHBOARD!$E5*0.01)+('DFMC (Vic)'!$H5*DASHBOARD!$F5)</f>
        <v>59429.600000000006</v>
      </c>
      <c r="Z23" s="13">
        <f>(DASHBOARD!$C5*DASHBOARD!$D5*0.01*'Saputo (SW Vic &amp; SA)'!$C4)+(DASHBOARD!$C5*DASHBOARD!$E5*0.01*'Saputo (SW Vic &amp; SA)'!$D4)+('Saputo (SW Vic &amp; SA)'!$E4*DASHBOARD!$C5*DASHBOARD!$D5*0.01)+('Saputo (SW Vic &amp; SA)'!$F4*DASHBOARD!$C5*DASHBOARD!$E5*0.01)+('Saputo (SW Vic &amp; SA)'!$G4*DASHBOARD!$C5*DASHBOARD!$D5*0.01)+('Saputo (SW Vic &amp; SA)'!$H4*DASHBOARD!$C5*DASHBOARD!$E5*0.01)</f>
        <v>62816</v>
      </c>
      <c r="AA23" s="13">
        <f>(DASHBOARD!$C5*DASHBOARD!$D5*0.01*'Saputo (SW Vic &amp; SA)'!$C25)+(DASHBOARD!$C5*DASHBOARD!$E5*0.01*'Saputo (SW Vic &amp; SA)'!$D25)</f>
        <v>57824</v>
      </c>
      <c r="AB23" s="13">
        <f>('Fonterra (SE SA &amp; West Vic)'!$H8*DASHBOARD!$C5*DASHBOARD!$D5*0.01)+('Fonterra (SE SA &amp; West Vic)'!$I8*DASHBOARD!$C5*DASHBOARD!$E5*0.01)+('Fonterra (SE SA &amp; West Vic)'!$J8*DASHBOARD!$C5*DASHBOARD!$D5*0.01)+('Fonterra (SE SA &amp; West Vic)'!$K8*DASHBOARD!$C5*DASHBOARD!$E5*0.01)+('Fonterra (SE SA &amp; West Vic)'!$L8*DASHBOARD!$C5*DASHBOARD!$D5*0.01)+('Fonterra (SE SA &amp; West Vic)'!$M8*DASHBOARD!$C5*DASHBOARD!$E5*0.01)</f>
        <v>68825.600000000006</v>
      </c>
      <c r="AC23" s="13">
        <f>(DASHBOARD!$C5*DASHBOARD!$D5*0.01*'Fonterra (SE SA &amp; West Vic)'!$H24)+('Fonterra (SE SA &amp; West Vic)'!$I24*DASHBOARD!$C5*DASHBOARD!$E5*0.01)+('Fonterra (SE SA &amp; West Vic)'!$J24*DASHBOARD!$C5*DASHBOARD!$D5*0.01)+('Fonterra (SE SA &amp; West Vic)'!$K24*DASHBOARD!$C5*DASHBOARD!$E5*0.01)+('Fonterra (SE SA &amp; West Vic)'!$L24*DASHBOARD!$C5*DASHBOARD!$D5*0.01)+('Fonterra (SE SA &amp; West Vic)'!$M24*DASHBOARD!$C5*DASHBOARD!$E5*0.01)</f>
        <v>69777.600000000006</v>
      </c>
      <c r="AD23" s="13">
        <f>(Frestine!$D4*DASHBOARD!$C5*DASHBOARD!$D5*0.01)+(Frestine!$E4*DASHBOARD!$C5*DASHBOARD!$E5*0.01)</f>
        <v>57616</v>
      </c>
      <c r="AE23" s="13">
        <f>DASHBOARD!$F5*Frestine!$D18</f>
        <v>57600.000000000007</v>
      </c>
      <c r="AF23" s="13">
        <f>('KY Valley (West Vic)'!$D4*DASHBOARD!$C5*DASHBOARD!$D5*0.01)+('KY Valley (West Vic)'!$E4*DASHBOARD!$C5*DASHBOARD!$E5*0.01)</f>
        <v>56088</v>
      </c>
      <c r="AG23" s="13">
        <f>('Lactalis (Gippsland &amp; West Vic)'!$D4*DASHBOARD!$C5*DASHBOARD!$D5*0.01)+('Lactalis (Gippsland &amp; West Vic)'!$E4*DASHBOARD!$C5*DASHBOARD!$E5*0.01)+('Lactalis (Gippsland &amp; West Vic)'!$F4*DASHBOARD!$C5*DASHBOARD!$D5*0.01)+('Lactalis (Gippsland &amp; West Vic)'!$G4*DASHBOARD!$C5*DASHBOARD!$E5*0.01)</f>
        <v>66520</v>
      </c>
      <c r="AH23" s="13">
        <f>(UDC!$C6*DASHBOARD!$C5*DASHBOARD!$D5*0.01)+(UDC!$D6*DASHBOARD!$C5*DASHBOARD!$E5*0.01)+(UDC!$E6*DASHBOARD!$F5)+(UDC!$F6*DASHBOARD!$F5)</f>
        <v>59810.400000000001</v>
      </c>
      <c r="AI23" s="13">
        <f>(DASHBOARD!$C6*DASHBOARD!$D6*0.01*UDC!$C21)+(UDC!$D21*0.01*DASHBOARD!$C6*DASHBOARD!$E6)+(DASHBOARD!$F6*UDC!$E21)+(UDC!$F21)</f>
        <v>66110.400000000009</v>
      </c>
    </row>
    <row r="24" spans="3:35">
      <c r="C24" s="11"/>
      <c r="D24" s="39" t="s">
        <v>61</v>
      </c>
      <c r="E24" s="13">
        <f>('Bega (Tas)'!$D5*DASHBOARD!$C6*DASHBOARD!$D6*0.01)+('Bega (Tas)'!$E5*DASHBOARD!$C6*DASHBOARD!$E6*0.01)+('Bega (Tas)'!$F5*DASHBOARD!$C6)-('Bega (Tas)'!$G5)</f>
        <v>82206</v>
      </c>
      <c r="F24" s="13">
        <f>('Coles (Tas)'!$D6*DASHBOARD!$C6*DASHBOARD!$D6*0.01)+('Coles (Tas)'!$E6*DASHBOARD!$C6*DASHBOARD!$E6*0.01)-('Coles (Tas)'!$F6)</f>
        <v>75435</v>
      </c>
      <c r="G24" s="13">
        <f>('Fonterra (Tas)'!$G4*DASHBOARD!$C6*DASHBOARD!$D6*0.01)+('Fonterra (Tas)'!$H4*DASHBOARD!$C6*DASHBOARD!$E6*0.01)+('Fonterra (Tas)'!$I4*DASHBOARD!$C6*DASHBOARD!$D6*0.01)+('Fonterra (Tas)'!$J4*DASHBOARD!$C6*DASHBOARD!$E6*0.01)+('Fonterra (Tas)'!$K4*DASHBOARD!$C6*DASHBOARD!$D6*0.01)+('Fonterra (Tas)'!$L4*DASHBOARD!$C6*DASHBOARD!$E6*0.01)</f>
        <v>51689.599999999999</v>
      </c>
      <c r="H24" s="13">
        <f>(DASHBOARD!$C6*DASHBOARD!$D6*0.01*'Fonterra (Tas)'!$G20)+('Fonterra (Tas)'!$H20*DASHBOARD!$C6*DASHBOARD!$E6*0.01)+('Fonterra (Tas)'!$I20*DASHBOARD!$C6*DASHBOARD!$D6*0.01)+(DASHBOARD!$C6*DASHBOARD!$E6*0.01*'Fonterra (Tas)'!$J20)+('Fonterra (Tas)'!$K20*DASHBOARD!$C6*DASHBOARD!$D6*0.01)+('Fonterra (Tas)'!$L20*DASHBOARD!$C6*DASHBOARD!$E6*0.01)</f>
        <v>51689.599999999999</v>
      </c>
      <c r="I24" s="13">
        <f>('Lactalis (Vic, Tas, &amp; Riverina)'!$C9*DASHBOARD!$C6*DASHBOARD!$D6*0.01)+('Lactalis (Vic, Tas, &amp; Riverina)'!$D9*DASHBOARD!$C6*DASHBOARD!$E6*0.01)+('Lactalis (Vic, Tas, &amp; Riverina)'!$E9*DASHBOARD!$C6*DASHBOARD!$D6*0.01)+('Lactalis (Vic, Tas, &amp; Riverina)'!$F9*DASHBOARD!$C6*DASHBOARD!$E6*0.01)</f>
        <v>60120</v>
      </c>
      <c r="J24" s="13">
        <f>(Mondelez!$D5*DASHBOARD!$F6)+(Mondelez!$E5*DASHBOARD!$F6)</f>
        <v>39168.000000000007</v>
      </c>
      <c r="K24" s="13">
        <f>('Saputo (Tas)'!$C5*DASHBOARD!$C6*DASHBOARD!$D6*0.01)+('Saputo (Tas)'!$D5*DASHBOARD!$C6*DASHBOARD!$E6*0.01)+('Saputo (Tas)'!$E5*DASHBOARD!$C6*DASHBOARD!$D6*0.01)+('Saputo (Tas)'!$F5*DASHBOARD!$C6*DASHBOARD!$E6*0.01)+('Saputo (Tas)'!$G5*DASHBOARD!$C6*DASHBOARD!$D6*0.01)+('Saputo (Tas)'!$H6*DASHBOARD!$C6*DASHBOARD!$E6*0.01)</f>
        <v>53560</v>
      </c>
      <c r="L24" s="13">
        <f>(DASHBOARD!$C6*DASHBOARD!$D6*0.01*'Saputo (Tas)'!$C25)+(DASHBOARD!$C6*DASHBOARD!$E6*0.01*'Saputo (Tas)'!$D25)</f>
        <v>56784</v>
      </c>
      <c r="N24" s="39" t="s">
        <v>61</v>
      </c>
      <c r="O24" s="13">
        <f>(ACM!$D5*DASHBOARD!$D6*DASHBOARD!$C6*0.01)+(ACM!$E5*DASHBOARD!$E6*DASHBOARD!$C6*0.01)+(ACM!$F5*DASHBOARD!$C6)</f>
        <v>57564</v>
      </c>
      <c r="P24" s="13">
        <f>(ADFC!$C5*0.01*DASHBOARD!$C6*DASHBOARD!$D6)+(ADFC!$D5*0.01*DASHBOARD!$C6*DASHBOARD!$E6)+(ADFC!$E5*DASHBOARD!$C6*DASHBOARD!$D6*0.01)+(ADFC!$F5*DASHBOARD!$E6*DASHBOARD!$C6*0.01)</f>
        <v>55440</v>
      </c>
      <c r="Q24" s="13">
        <f>(DASHBOARD!$C6*DASHBOARD!$D6*0.01*'Bega (SE SA &amp; West Vic)'!$D35)+('Bega (SE SA &amp; West Vic)'!$E35*0.01*DASHBOARD!$C6*DASHBOARD!$E6)</f>
        <v>57240</v>
      </c>
      <c r="R24" s="13">
        <f>(DASHBOARD!$C6*DASHBOARD!$D6*0.01*'Bega (SE SA &amp; West Vic)'!$D21)+('Bega (SE SA &amp; West Vic)'!$E21*0.01*DASHBOARD!$C6*DASHBOARD!$E6)</f>
        <v>57033.599999999999</v>
      </c>
      <c r="S24" s="13">
        <f>('Bega (SE SA &amp; West Vic)'!$D5*DASHBOARD!$C6*DASHBOARD!$D6*0.01)+('Bega (SE SA &amp; West Vic)'!$E5*DASHBOARD!$C6*DASHBOARD!$E6*0.01)+('Bega (SE SA &amp; West Vic)'!$F5*DASHBOARD!$C6*DASHBOARD!$D6*0.01)+('Bega (SE SA &amp; West Vic)'!$G5*DASHBOARD!$C6*DASHBOARD!$E6*0.01)-('Bega (SE SA &amp; West Vic)'!$H5)</f>
        <v>56312</v>
      </c>
      <c r="T24" s="13">
        <f>(Bulla!$C4*DASHBOARD!$F6)</f>
        <v>62280.000000000007</v>
      </c>
      <c r="U24" s="13">
        <f>(Bulla!$C18*DASHBOARD!$C6*DASHBOARD!$D6*0.01)+(Bulla!$D18*DASHBOARD!$C6*DASHBOARD!$E6*0.01)</f>
        <v>62278.400000000001</v>
      </c>
      <c r="V24" s="13">
        <f>('Coles (Vic, Riverina, &amp; SE SA)'!$D6*DASHBOARD!$C6*DASHBOARD!$D6*0.01)+('Coles (Vic, Riverina, &amp; SE SA)'!$E6*DASHBOARD!$C6*DASHBOARD!$E6*0.01)-('Coles (Vic, Riverina, &amp; SE SA)'!$F6)</f>
        <v>75435</v>
      </c>
      <c r="W24" s="13">
        <f>('DFMC (Vic)'!$F26*DASHBOARD!$C6*DASHBOARD!$D6*0.01)+('DFMC (Vic)'!$G26*DASHBOARD!$C6*DASHBOARD!$E6*0.01)+('DFMC (Vic)'!$H26*DASHBOARD!$F6)</f>
        <v>55191.200000000004</v>
      </c>
      <c r="X24" s="13">
        <f>('DFMC (Vic)'!$F40*DASHBOARD!$C6*DASHBOARD!$D6*0.01)+('DFMC (Vic)'!$G40*DASHBOARD!$C6*DASHBOARD!$E6*0.01)</f>
        <v>55190.400000000001</v>
      </c>
      <c r="Y24" s="13">
        <f>('DFMC (Vic)'!$F6*DASHBOARD!$C6*DASHBOARD!$D6*0.01)+('DFMC (Vic)'!$G6*DASHBOARD!$C6*DASHBOARD!$E6*0.01)+('DFMC (Vic)'!$H6*DASHBOARD!$F6)</f>
        <v>53111.199999999997</v>
      </c>
      <c r="Z24" s="13">
        <f>(DASHBOARD!$C6*DASHBOARD!$D6*0.01*'Saputo (SW Vic &amp; SA)'!$C5)+(DASHBOARD!$C6*DASHBOARD!$E6*0.01*'Saputo (SW Vic &amp; SA)'!$D5)+('Saputo (SW Vic &amp; SA)'!$E5*DASHBOARD!$C6*DASHBOARD!$D6*0.01)+('Saputo (SW Vic &amp; SA)'!$F5*DASHBOARD!$C6*DASHBOARD!$E6*0.01)+('Saputo (SW Vic &amp; SA)'!$G5*DASHBOARD!$C6*DASHBOARD!$D6*0.01)+('Saputo (SW Vic &amp; SA)'!$H5*DASHBOARD!$C6*DASHBOARD!$E6*0.01)</f>
        <v>54600</v>
      </c>
      <c r="AA24" s="13">
        <f>(DASHBOARD!$C6*DASHBOARD!$D6*0.01*'Saputo (SW Vic &amp; SA)'!$C26)+(DASHBOARD!$C6*DASHBOARD!$E6*0.01*'Saputo (SW Vic &amp; SA)'!$D26)</f>
        <v>57824</v>
      </c>
      <c r="AB24" s="13">
        <f>('Fonterra (SE SA &amp; West Vic)'!$H9*DASHBOARD!$C6*DASHBOARD!$D6*0.01)+('Fonterra (SE SA &amp; West Vic)'!$I9*DASHBOARD!$C6*DASHBOARD!$E6*0.01)+('Fonterra (SE SA &amp; West Vic)'!$J9*DASHBOARD!$C6*DASHBOARD!$D6*0.01)+('Fonterra (SE SA &amp; West Vic)'!$K9*DASHBOARD!$C6*DASHBOARD!$E6*0.01)+('Fonterra (SE SA &amp; West Vic)'!$L9*DASHBOARD!$C6*DASHBOARD!$D6*0.01)+('Fonterra (SE SA &amp; West Vic)'!$M9*DASHBOARD!$C6*DASHBOARD!$E6*0.01)</f>
        <v>68825.600000000006</v>
      </c>
      <c r="AC24" s="13">
        <f>(DASHBOARD!$C6*DASHBOARD!$D6*0.01*'Fonterra (SE SA &amp; West Vic)'!$H25)+('Fonterra (SE SA &amp; West Vic)'!$I25*DASHBOARD!$C6*DASHBOARD!$E6*0.01)+('Fonterra (SE SA &amp; West Vic)'!$J25*DASHBOARD!$C6*DASHBOARD!$D6*0.01)+('Fonterra (SE SA &amp; West Vic)'!$K25*DASHBOARD!$C6*DASHBOARD!$E6*0.01)+('Fonterra (SE SA &amp; West Vic)'!$L25*DASHBOARD!$C6*DASHBOARD!$D6*0.01)+('Fonterra (SE SA &amp; West Vic)'!$M25*DASHBOARD!$C6*DASHBOARD!$E6*0.01)</f>
        <v>67233.600000000006</v>
      </c>
      <c r="AD24" s="13">
        <f>(Frestine!$D5*DASHBOARD!$C6*DASHBOARD!$D6*0.01)+(Frestine!$E5*DASHBOARD!$C6*DASHBOARD!$E6*0.01)</f>
        <v>57616</v>
      </c>
      <c r="AE24" s="13">
        <f>DASHBOARD!$F6*Frestine!$D19</f>
        <v>57600.000000000007</v>
      </c>
      <c r="AF24" s="13">
        <f>('KY Valley (West Vic)'!$D5*DASHBOARD!$C6*DASHBOARD!$D6*0.01)+('KY Valley (West Vic)'!$E5*DASHBOARD!$C6*DASHBOARD!$E6*0.01)</f>
        <v>56088</v>
      </c>
      <c r="AG24" s="13">
        <f>('Lactalis (Gippsland &amp; West Vic)'!$D5*DASHBOARD!$C6*DASHBOARD!$D6*0.01)+('Lactalis (Gippsland &amp; West Vic)'!$E5*DASHBOARD!$C6*DASHBOARD!$E6*0.01)+('Lactalis (Gippsland &amp; West Vic)'!$F5*DASHBOARD!$C6*DASHBOARD!$D6*0.01)+('Lactalis (Gippsland &amp; West Vic)'!$G5*DASHBOARD!$C6*DASHBOARD!$E6*0.01)</f>
        <v>56640</v>
      </c>
      <c r="AH24" s="13">
        <f>(UDC!$C7*DASHBOARD!$C6*DASHBOARD!$D6*0.01)+(UDC!$D7*DASHBOARD!$C6*DASHBOARD!$E6*0.01)+(UDC!$E7*DASHBOARD!$F6)+(UDC!$F7*DASHBOARD!$F6)</f>
        <v>52610.400000000001</v>
      </c>
      <c r="AI24" s="13">
        <f>(DASHBOARD!$C7*DASHBOARD!$D7*0.01*UDC!$C22)+(UDC!$D22*0.01*DASHBOARD!$C7*DASHBOARD!$E7)+(DASHBOARD!$F7*UDC!$E22)+(UDC!$F22)</f>
        <v>66110.400000000009</v>
      </c>
    </row>
    <row r="25" spans="3:35">
      <c r="C25" s="11"/>
      <c r="D25" s="39" t="s">
        <v>62</v>
      </c>
      <c r="E25" s="13">
        <f>('Bega (Tas)'!$D6*DASHBOARD!$C7*DASHBOARD!$D7*0.01)+('Bega (Tas)'!$E6*DASHBOARD!$C7*DASHBOARD!$E7*0.01)+('Bega (Tas)'!$F6*DASHBOARD!$C7)-('Bega (Tas)'!$G6)</f>
        <v>55640</v>
      </c>
      <c r="F25" s="13">
        <f>('Coles (Tas)'!$D7*DASHBOARD!$C7*DASHBOARD!$D7*0.01)+('Coles (Tas)'!$E7*DASHBOARD!$C7*DASHBOARD!$E7*0.01)-('Coles (Tas)'!$F7)</f>
        <v>63726</v>
      </c>
      <c r="G25" s="13">
        <f>('Fonterra (Tas)'!$G5*DASHBOARD!$C7*DASHBOARD!$D7*0.01)+('Fonterra (Tas)'!$H5*DASHBOARD!$C7*DASHBOARD!$E7*0.01)+('Fonterra (Tas)'!$I5*DASHBOARD!$C7*DASHBOARD!$D7*0.01)+('Fonterra (Tas)'!$J5*DASHBOARD!$C7*DASHBOARD!$E7*0.01)+('Fonterra (Tas)'!$K5*DASHBOARD!$C7*DASHBOARD!$D7*0.01)+('Fonterra (Tas)'!$L5*DASHBOARD!$C7*DASHBOARD!$E7*0.01)</f>
        <v>51689.599999999999</v>
      </c>
      <c r="H25" s="13">
        <f>(DASHBOARD!$C7*DASHBOARD!$D7*0.01*'Fonterra (Tas)'!$G21)+('Fonterra (Tas)'!$H21*DASHBOARD!$C7*DASHBOARD!$E7*0.01)+('Fonterra (Tas)'!$I21*DASHBOARD!$C7*DASHBOARD!$D7*0.01)+(DASHBOARD!$C7*DASHBOARD!$E7*0.01*'Fonterra (Tas)'!$J21)+('Fonterra (Tas)'!$K21*DASHBOARD!$C7*DASHBOARD!$D7*0.01)+('Fonterra (Tas)'!$L21*DASHBOARD!$C7*DASHBOARD!$E7*0.01)</f>
        <v>51689.599999999999</v>
      </c>
      <c r="I25" s="13">
        <f>('Lactalis (Vic, Tas, &amp; Riverina)'!$C10*DASHBOARD!$C7*DASHBOARD!$D7*0.01)+('Lactalis (Vic, Tas, &amp; Riverina)'!$D10*DASHBOARD!$C7*DASHBOARD!$E7*0.01)+('Lactalis (Vic, Tas, &amp; Riverina)'!$E10*DASHBOARD!$C7*DASHBOARD!$D7*0.01)+('Lactalis (Vic, Tas, &amp; Riverina)'!$F10*DASHBOARD!$C7*DASHBOARD!$E7*0.01)</f>
        <v>53432</v>
      </c>
      <c r="J25" s="13">
        <f>(Mondelez!$D6*DASHBOARD!$F7)+(Mondelez!$E6*DASHBOARD!$F7)</f>
        <v>31536.000000000004</v>
      </c>
      <c r="K25" s="13">
        <f>('Saputo (Tas)'!$C6*DASHBOARD!$C7*DASHBOARD!$D7*0.01)+('Saputo (Tas)'!$D6*DASHBOARD!$C7*DASHBOARD!$E7*0.01)+('Saputo (Tas)'!$E6*DASHBOARD!$C7*DASHBOARD!$D7*0.01)+('Saputo (Tas)'!$F6*DASHBOARD!$C7*DASHBOARD!$E7*0.01)+('Saputo (Tas)'!$G6*DASHBOARD!$C7*DASHBOARD!$D7*0.01)+('Saputo (Tas)'!$H7*DASHBOARD!$C7*DASHBOARD!$E7*0.01)</f>
        <v>53560</v>
      </c>
      <c r="L25" s="13">
        <f>(DASHBOARD!$C7*DASHBOARD!$D7*0.01*'Saputo (Tas)'!$C26)+(DASHBOARD!$C7*DASHBOARD!$E7*0.01*'Saputo (Tas)'!$D26)</f>
        <v>56784</v>
      </c>
      <c r="N25" s="39" t="s">
        <v>62</v>
      </c>
      <c r="O25" s="13">
        <f>(ACM!$D6*DASHBOARD!$D7*DASHBOARD!$C7*0.01)+(ACM!$E6*DASHBOARD!$E7*DASHBOARD!$C7*0.01)+(ACM!$F6*DASHBOARD!$C7)</f>
        <v>53252</v>
      </c>
      <c r="P25" s="13">
        <f>(ADFC!$C6*0.01*DASHBOARD!$C7*DASHBOARD!$D7)+(ADFC!$D6*0.01*DASHBOARD!$C7*DASHBOARD!$E7)+(ADFC!$E6*DASHBOARD!$C7*DASHBOARD!$D7*0.01)+(ADFC!$F6*DASHBOARD!$E7*DASHBOARD!$C7*0.01)</f>
        <v>55440</v>
      </c>
      <c r="Q25" s="13">
        <f>(DASHBOARD!$C7*DASHBOARD!$D7*0.01*'Bega (SE SA &amp; West Vic)'!$D36)+('Bega (SE SA &amp; West Vic)'!$E36*0.01*DASHBOARD!$C7*DASHBOARD!$E7)</f>
        <v>57240</v>
      </c>
      <c r="R25" s="13">
        <f>(DASHBOARD!$C7*DASHBOARD!$D7*0.01*'Bega (SE SA &amp; West Vic)'!$D22)+('Bega (SE SA &amp; West Vic)'!$E22*0.01*DASHBOARD!$C7*DASHBOARD!$E7)</f>
        <v>57033.599999999999</v>
      </c>
      <c r="S25" s="13">
        <f>('Bega (SE SA &amp; West Vic)'!$D6*DASHBOARD!$C7*DASHBOARD!$D7*0.01)+('Bega (SE SA &amp; West Vic)'!$E6*DASHBOARD!$C7*DASHBOARD!$E7*0.01)+('Bega (SE SA &amp; West Vic)'!$F6*DASHBOARD!$C7*DASHBOARD!$D7*0.01)+('Bega (SE SA &amp; West Vic)'!$G6*DASHBOARD!$C7*DASHBOARD!$E7*0.01)-('Bega (SE SA &amp; West Vic)'!$H6)</f>
        <v>52659.199999999997</v>
      </c>
      <c r="T25" s="13">
        <f>(Bulla!$C5*DASHBOARD!$F7)</f>
        <v>62280.000000000007</v>
      </c>
      <c r="U25" s="13">
        <f>(Bulla!$C19*DASHBOARD!$C7*DASHBOARD!$D7*0.01)+(Bulla!$D19*DASHBOARD!$C7*DASHBOARD!$E7*0.01)</f>
        <v>62278.400000000001</v>
      </c>
      <c r="V25" s="13">
        <f>('Coles (Vic, Riverina, &amp; SE SA)'!$D7*DASHBOARD!$C7*DASHBOARD!$D7*0.01)+('Coles (Vic, Riverina, &amp; SE SA)'!$E7*DASHBOARD!$C7*DASHBOARD!$E7*0.01)-('Coles (Vic, Riverina, &amp; SE SA)'!$F7)</f>
        <v>63726</v>
      </c>
      <c r="W25" s="13">
        <f>('DFMC (Vic)'!$F27*DASHBOARD!$C7*DASHBOARD!$D7*0.01)+('DFMC (Vic)'!$G27*DASHBOARD!$C7*DASHBOARD!$E7*0.01)+('DFMC (Vic)'!$H27*DASHBOARD!$F7)</f>
        <v>51527.200000000004</v>
      </c>
      <c r="X25" s="13">
        <f>('DFMC (Vic)'!$F41*DASHBOARD!$C7*DASHBOARD!$D7*0.01)+('DFMC (Vic)'!$G41*DASHBOARD!$C7*DASHBOARD!$E7*0.01)</f>
        <v>55190.400000000001</v>
      </c>
      <c r="Y25" s="13">
        <f>('DFMC (Vic)'!$F7*DASHBOARD!$C7*DASHBOARD!$D7*0.01)+('DFMC (Vic)'!$G7*DASHBOARD!$C7*DASHBOARD!$E7*0.01)+('DFMC (Vic)'!$H7*DASHBOARD!$F7)</f>
        <v>49953.600000000006</v>
      </c>
      <c r="Z25" s="13">
        <f>(DASHBOARD!$C7*DASHBOARD!$D7*0.01*'Saputo (SW Vic &amp; SA)'!$C6)+(DASHBOARD!$C7*DASHBOARD!$E7*0.01*'Saputo (SW Vic &amp; SA)'!$D6)+('Saputo (SW Vic &amp; SA)'!$E6*DASHBOARD!$C7*DASHBOARD!$D7*0.01)+('Saputo (SW Vic &amp; SA)'!$F6*DASHBOARD!$C7*DASHBOARD!$E7*0.01)+('Saputo (SW Vic &amp; SA)'!$G6*DASHBOARD!$C7*DASHBOARD!$D7*0.01)+('Saputo (SW Vic &amp; SA)'!$H6*DASHBOARD!$C7*DASHBOARD!$E7*0.01)</f>
        <v>54600</v>
      </c>
      <c r="AA25" s="13">
        <f>(DASHBOARD!$C7*DASHBOARD!$D7*0.01*'Saputo (SW Vic &amp; SA)'!$C27)+(DASHBOARD!$C7*DASHBOARD!$E7*0.01*'Saputo (SW Vic &amp; SA)'!$D27)</f>
        <v>57824</v>
      </c>
      <c r="AB25" s="13">
        <f>('Fonterra (SE SA &amp; West Vic)'!$H10*DASHBOARD!$C7*DASHBOARD!$D7*0.01)+('Fonterra (SE SA &amp; West Vic)'!$I10*DASHBOARD!$C7*DASHBOARD!$E7*0.01)+('Fonterra (SE SA &amp; West Vic)'!$J10*DASHBOARD!$C7*DASHBOARD!$D7*0.01)+('Fonterra (SE SA &amp; West Vic)'!$K10*DASHBOARD!$C7*DASHBOARD!$E7*0.01)+('Fonterra (SE SA &amp; West Vic)'!$L10*DASHBOARD!$C7*DASHBOARD!$D7*0.01)+('Fonterra (SE SA &amp; West Vic)'!$M10*DASHBOARD!$C7*DASHBOARD!$E7*0.01)</f>
        <v>63665.599999999999</v>
      </c>
      <c r="AC25" s="13">
        <f>(DASHBOARD!$C7*DASHBOARD!$D7*0.01*'Fonterra (SE SA &amp; West Vic)'!$H26)+('Fonterra (SE SA &amp; West Vic)'!$I26*DASHBOARD!$C7*DASHBOARD!$E7*0.01)+('Fonterra (SE SA &amp; West Vic)'!$J26*DASHBOARD!$C7*DASHBOARD!$D7*0.01)+('Fonterra (SE SA &amp; West Vic)'!$K26*DASHBOARD!$C7*DASHBOARD!$E7*0.01)+('Fonterra (SE SA &amp; West Vic)'!$L26*DASHBOARD!$C7*DASHBOARD!$D7*0.01)+('Fonterra (SE SA &amp; West Vic)'!$M26*DASHBOARD!$C7*DASHBOARD!$E7*0.01)</f>
        <v>63665.599999999999</v>
      </c>
      <c r="AD25" s="13">
        <f>(Frestine!$D6*DASHBOARD!$C7*DASHBOARD!$D7*0.01)+(Frestine!$E6*DASHBOARD!$C7*DASHBOARD!$E7*0.01)</f>
        <v>57616</v>
      </c>
      <c r="AE25" s="13">
        <f>DASHBOARD!$F7*Frestine!$D20</f>
        <v>57600.000000000007</v>
      </c>
      <c r="AF25" s="13">
        <f>('KY Valley (West Vic)'!$D6*DASHBOARD!$C7*DASHBOARD!$D7*0.01)+('KY Valley (West Vic)'!$E6*DASHBOARD!$C7*DASHBOARD!$E7*0.01)</f>
        <v>56088</v>
      </c>
      <c r="AG25" s="13">
        <f>('Lactalis (Gippsland &amp; West Vic)'!$D6*DASHBOARD!$C7*DASHBOARD!$D7*0.01)+('Lactalis (Gippsland &amp; West Vic)'!$E6*DASHBOARD!$C7*DASHBOARD!$E7*0.01)+('Lactalis (Gippsland &amp; West Vic)'!$F6*DASHBOARD!$C7*DASHBOARD!$D7*0.01)+('Lactalis (Gippsland &amp; West Vic)'!$G6*DASHBOARD!$C7*DASHBOARD!$E7*0.01)</f>
        <v>59168</v>
      </c>
      <c r="AH25" s="13">
        <f>(UDC!$C8*DASHBOARD!$C7*DASHBOARD!$D7*0.01)+(UDC!$D8*DASHBOARD!$C7*DASHBOARD!$E7*0.01)+(UDC!$E8*DASHBOARD!$F7)+(UDC!$F8*DASHBOARD!$F7)</f>
        <v>52610.400000000001</v>
      </c>
      <c r="AI25" s="13">
        <f>(DASHBOARD!$C8*DASHBOARD!$D8*0.01*UDC!$C23)+(UDC!$D23*0.01*DASHBOARD!$C8*DASHBOARD!$E8)+(DASHBOARD!$F8*UDC!$E23)+(UDC!$F23)</f>
        <v>55310.400000000009</v>
      </c>
    </row>
    <row r="26" spans="3:35">
      <c r="C26" s="11"/>
      <c r="D26" s="39" t="s">
        <v>63</v>
      </c>
      <c r="E26" s="13">
        <f>('Bega (Tas)'!$D7*DASHBOARD!$C8*DASHBOARD!$D8*0.01)+('Bega (Tas)'!$E7*DASHBOARD!$C8*DASHBOARD!$E8*0.01)+('Bega (Tas)'!$F7*DASHBOARD!$C8)-('Bega (Tas)'!$G7)</f>
        <v>52462</v>
      </c>
      <c r="F26" s="13">
        <f>('Coles (Tas)'!$D8*DASHBOARD!$C8*DASHBOARD!$D8*0.01)+('Coles (Tas)'!$E8*DASHBOARD!$C8*DASHBOARD!$E8*0.01)-('Coles (Tas)'!$F8)</f>
        <v>63651</v>
      </c>
      <c r="G26" s="13">
        <f>('Fonterra (Tas)'!$G6*DASHBOARD!$C8*DASHBOARD!$D8*0.01)+('Fonterra (Tas)'!$H6*DASHBOARD!$C8*DASHBOARD!$E8*0.01)+('Fonterra (Tas)'!$I6*DASHBOARD!$C8*DASHBOARD!$D8*0.01)+('Fonterra (Tas)'!$J6*DASHBOARD!$C8*DASHBOARD!$E8*0.01)+('Fonterra (Tas)'!$K6*DASHBOARD!$C8*DASHBOARD!$D8*0.01)+('Fonterra (Tas)'!$L6*DASHBOARD!$C8*DASHBOARD!$E8*0.01)</f>
        <v>51689.599999999999</v>
      </c>
      <c r="H26" s="13">
        <f>(DASHBOARD!$C8*DASHBOARD!$D8*0.01*'Fonterra (Tas)'!$G22)+('Fonterra (Tas)'!$H22*DASHBOARD!$C8*DASHBOARD!$E8*0.01)+('Fonterra (Tas)'!$I22*DASHBOARD!$C8*DASHBOARD!$D8*0.01)+(DASHBOARD!$C8*DASHBOARD!$E8*0.01*'Fonterra (Tas)'!$J22)+('Fonterra (Tas)'!$K22*DASHBOARD!$C8*DASHBOARD!$D8*0.01)+('Fonterra (Tas)'!$L22*DASHBOARD!$C8*DASHBOARD!$E8*0.01)</f>
        <v>51689.599999999999</v>
      </c>
      <c r="I26" s="13">
        <f>('Lactalis (Vic, Tas, &amp; Riverina)'!$C11*DASHBOARD!$C8*DASHBOARD!$D8*0.01)+('Lactalis (Vic, Tas, &amp; Riverina)'!$D11*DASHBOARD!$C8*DASHBOARD!$E8*0.01)+('Lactalis (Vic, Tas, &amp; Riverina)'!$E11*DASHBOARD!$C8*DASHBOARD!$D8*0.01)+('Lactalis (Vic, Tas, &amp; Riverina)'!$F11*DASHBOARD!$C8*DASHBOARD!$E8*0.01)</f>
        <v>53432</v>
      </c>
      <c r="J26" s="13">
        <f>(Mondelez!$D7*DASHBOARD!$F8)+(Mondelez!$E7*DASHBOARD!$F8)</f>
        <v>27568.800000000003</v>
      </c>
      <c r="K26" s="13">
        <f>('Saputo (Tas)'!$C7*DASHBOARD!$C8*DASHBOARD!$D8*0.01)+('Saputo (Tas)'!$D7*DASHBOARD!$C8*DASHBOARD!$E8*0.01)+('Saputo (Tas)'!$E7*DASHBOARD!$C8*DASHBOARD!$D8*0.01)+('Saputo (Tas)'!$F7*DASHBOARD!$C8*DASHBOARD!$E8*0.01)+('Saputo (Tas)'!$G7*DASHBOARD!$C8*DASHBOARD!$D8*0.01)+('Saputo (Tas)'!$H8*DASHBOARD!$C8*DASHBOARD!$E8*0.01)</f>
        <v>53560</v>
      </c>
      <c r="L26" s="13">
        <f>(DASHBOARD!$C8*DASHBOARD!$D8*0.01*'Saputo (Tas)'!$C27)+(DASHBOARD!$C8*DASHBOARD!$E8*0.01*'Saputo (Tas)'!$D27)</f>
        <v>56784</v>
      </c>
      <c r="N26" s="39" t="s">
        <v>63</v>
      </c>
      <c r="O26" s="13">
        <f>(ACM!$D7*DASHBOARD!$D8*DASHBOARD!$C8*0.01)+(ACM!$E7*DASHBOARD!$E8*DASHBOARD!$C8*0.01)+(ACM!$F7*DASHBOARD!$C8)</f>
        <v>53252</v>
      </c>
      <c r="P26" s="13">
        <f>(ADFC!$C7*0.01*DASHBOARD!$C8*DASHBOARD!$D8)+(ADFC!$D7*0.01*DASHBOARD!$C8*DASHBOARD!$E8)+(ADFC!$E7*DASHBOARD!$C8*DASHBOARD!$D8*0.01)+(ADFC!$F7*DASHBOARD!$E8*DASHBOARD!$C8*0.01)</f>
        <v>55440</v>
      </c>
      <c r="Q26" s="13">
        <f>(DASHBOARD!$C8*DASHBOARD!$D8*0.01*'Bega (SE SA &amp; West Vic)'!$D37)+('Bega (SE SA &amp; West Vic)'!$E37*0.01*DASHBOARD!$C8*DASHBOARD!$E8)</f>
        <v>57240</v>
      </c>
      <c r="R26" s="13">
        <f>(DASHBOARD!$C8*DASHBOARD!$D8*0.01*'Bega (SE SA &amp; West Vic)'!$D23)+('Bega (SE SA &amp; West Vic)'!$E23*0.01*DASHBOARD!$C8*DASHBOARD!$E8)</f>
        <v>57033.599999999999</v>
      </c>
      <c r="S26" s="13">
        <f>('Bega (SE SA &amp; West Vic)'!$D7*DASHBOARD!$C8*DASHBOARD!$D8*0.01)+('Bega (SE SA &amp; West Vic)'!$E7*DASHBOARD!$C8*DASHBOARD!$E8*0.01)+('Bega (SE SA &amp; West Vic)'!$F7*DASHBOARD!$C8*DASHBOARD!$D8*0.01)+('Bega (SE SA &amp; West Vic)'!$G7*DASHBOARD!$C8*DASHBOARD!$E8*0.01)-('Bega (SE SA &amp; West Vic)'!$H7)</f>
        <v>52651.199999999997</v>
      </c>
      <c r="T26" s="13">
        <f>(Bulla!$C6*DASHBOARD!$F8)</f>
        <v>62280.000000000007</v>
      </c>
      <c r="U26" s="13">
        <f>(Bulla!$C20*DASHBOARD!$C8*DASHBOARD!$D8*0.01)+(Bulla!$D20*DASHBOARD!$C8*DASHBOARD!$E8*0.01)</f>
        <v>62278.400000000001</v>
      </c>
      <c r="V26" s="13">
        <f>('Coles (Vic, Riverina, &amp; SE SA)'!$D8*DASHBOARD!$C8*DASHBOARD!$D8*0.01)+('Coles (Vic, Riverina, &amp; SE SA)'!$E8*DASHBOARD!$C8*DASHBOARD!$E8*0.01)-('Coles (Vic, Riverina, &amp; SE SA)'!$F8)</f>
        <v>63651</v>
      </c>
      <c r="W26" s="13">
        <f>('DFMC (Vic)'!$F28*DASHBOARD!$C8*DASHBOARD!$D8*0.01)+('DFMC (Vic)'!$G28*DASHBOARD!$C8*DASHBOARD!$E8*0.01)+('DFMC (Vic)'!$H28*DASHBOARD!$F8)</f>
        <v>51527.200000000004</v>
      </c>
      <c r="X26" s="13">
        <f>('DFMC (Vic)'!$F42*DASHBOARD!$C8*DASHBOARD!$D8*0.01)+('DFMC (Vic)'!$G42*DASHBOARD!$C8*DASHBOARD!$E8*0.01)</f>
        <v>55190.400000000001</v>
      </c>
      <c r="Y26" s="13">
        <f>('DFMC (Vic)'!$F8*DASHBOARD!$C8*DASHBOARD!$D8*0.01)+('DFMC (Vic)'!$G8*DASHBOARD!$C8*DASHBOARD!$E8*0.01)+('DFMC (Vic)'!$H8*DASHBOARD!$F8)</f>
        <v>49953.600000000006</v>
      </c>
      <c r="Z26" s="13">
        <f>(DASHBOARD!$C8*DASHBOARD!$D8*0.01*'Saputo (SW Vic &amp; SA)'!$C7)+(DASHBOARD!$C8*DASHBOARD!$E8*0.01*'Saputo (SW Vic &amp; SA)'!$D7)+('Saputo (SW Vic &amp; SA)'!$E7*DASHBOARD!$C8*DASHBOARD!$D8*0.01)+('Saputo (SW Vic &amp; SA)'!$F7*DASHBOARD!$C8*DASHBOARD!$E8*0.01)+('Saputo (SW Vic &amp; SA)'!$G7*DASHBOARD!$C8*DASHBOARD!$D8*0.01)+('Saputo (SW Vic &amp; SA)'!$H7*DASHBOARD!$C8*DASHBOARD!$E8*0.01)</f>
        <v>54600</v>
      </c>
      <c r="AA26" s="13">
        <f>(DASHBOARD!$C8*DASHBOARD!$D8*0.01*'Saputo (SW Vic &amp; SA)'!$C28)+(DASHBOARD!$C8*DASHBOARD!$E8*0.01*'Saputo (SW Vic &amp; SA)'!$D28)</f>
        <v>57824</v>
      </c>
      <c r="AB26" s="13">
        <f>('Fonterra (SE SA &amp; West Vic)'!$H11*DASHBOARD!$C8*DASHBOARD!$D8*0.01)+('Fonterra (SE SA &amp; West Vic)'!$I11*DASHBOARD!$C8*DASHBOARD!$E8*0.01)+('Fonterra (SE SA &amp; West Vic)'!$J11*DASHBOARD!$C8*DASHBOARD!$D8*0.01)+('Fonterra (SE SA &amp; West Vic)'!$K11*DASHBOARD!$C8*DASHBOARD!$E8*0.01)+('Fonterra (SE SA &amp; West Vic)'!$L11*DASHBOARD!$C8*DASHBOARD!$D8*0.01)+('Fonterra (SE SA &amp; West Vic)'!$M11*DASHBOARD!$C8*DASHBOARD!$E8*0.01)</f>
        <v>63665.599999999999</v>
      </c>
      <c r="AC26" s="13">
        <f>(DASHBOARD!$C8*DASHBOARD!$D8*0.01*'Fonterra (SE SA &amp; West Vic)'!$H27)+('Fonterra (SE SA &amp; West Vic)'!$I27*DASHBOARD!$C8*DASHBOARD!$E8*0.01)+('Fonterra (SE SA &amp; West Vic)'!$J27*DASHBOARD!$C8*DASHBOARD!$D8*0.01)+('Fonterra (SE SA &amp; West Vic)'!$K27*DASHBOARD!$C8*DASHBOARD!$E8*0.01)+('Fonterra (SE SA &amp; West Vic)'!$L27*DASHBOARD!$C8*DASHBOARD!$D8*0.01)+('Fonterra (SE SA &amp; West Vic)'!$M27*DASHBOARD!$C8*DASHBOARD!$E8*0.01)</f>
        <v>63665.599999999999</v>
      </c>
      <c r="AD26" s="13">
        <f>(Frestine!$D7*DASHBOARD!$C8*DASHBOARD!$D8*0.01)+(Frestine!$E7*DASHBOARD!$C8*DASHBOARD!$E8*0.01)</f>
        <v>57616</v>
      </c>
      <c r="AE26" s="13">
        <f>DASHBOARD!$F8*Frestine!$D21</f>
        <v>57600.000000000007</v>
      </c>
      <c r="AF26" s="13">
        <f>('KY Valley (West Vic)'!$D7*DASHBOARD!$C8*DASHBOARD!$D8*0.01)+('KY Valley (West Vic)'!$E7*DASHBOARD!$C8*DASHBOARD!$E8*0.01)</f>
        <v>56088</v>
      </c>
      <c r="AG26" s="13">
        <f>('Lactalis (Gippsland &amp; West Vic)'!$D7*DASHBOARD!$C8*DASHBOARD!$D8*0.01)+('Lactalis (Gippsland &amp; West Vic)'!$E7*DASHBOARD!$C8*DASHBOARD!$E8*0.01)+('Lactalis (Gippsland &amp; West Vic)'!$F7*DASHBOARD!$C8*DASHBOARD!$D8*0.01)+('Lactalis (Gippsland &amp; West Vic)'!$G7*DASHBOARD!$C8*DASHBOARD!$E8*0.01)</f>
        <v>59168</v>
      </c>
      <c r="AH26" s="13">
        <f>(UDC!$C9*DASHBOARD!$C8*DASHBOARD!$D8*0.01)+(UDC!$D9*DASHBOARD!$C8*DASHBOARD!$E8*0.01)+(UDC!$E9*DASHBOARD!$F8)+(UDC!$F9*DASHBOARD!$F8)</f>
        <v>52610.400000000001</v>
      </c>
      <c r="AI26" s="13">
        <f>(DASHBOARD!$C9*DASHBOARD!$D9*0.01*UDC!$C24)+(UDC!$D24*0.01*DASHBOARD!$C9*DASHBOARD!$E9)+(DASHBOARD!$F9*UDC!$E24)+(UDC!$F24)</f>
        <v>55310.400000000009</v>
      </c>
    </row>
    <row r="27" spans="3:35">
      <c r="C27" s="11"/>
      <c r="D27" s="39" t="s">
        <v>64</v>
      </c>
      <c r="E27" s="13">
        <f>('Bega (Tas)'!$D8*DASHBOARD!$C9*DASHBOARD!$D9*0.01)+('Bega (Tas)'!$E8*DASHBOARD!$C9*DASHBOARD!$E9*0.01)+('Bega (Tas)'!$F8*DASHBOARD!$C9)-('Bega (Tas)'!$G8)</f>
        <v>52472</v>
      </c>
      <c r="F27" s="13">
        <f>('Coles (Tas)'!$D9*DASHBOARD!$C9*DASHBOARD!$D9*0.01)+('Coles (Tas)'!$E9*DASHBOARD!$C9*DASHBOARD!$E9*0.01)-('Coles (Tas)'!$F9)</f>
        <v>63726</v>
      </c>
      <c r="G27" s="13">
        <f>('Fonterra (Tas)'!$G7*DASHBOARD!$C9*DASHBOARD!$D9*0.01)+('Fonterra (Tas)'!$H7*DASHBOARD!$C9*DASHBOARD!$E9*0.01)+('Fonterra (Tas)'!$I7*DASHBOARD!$C9*DASHBOARD!$D9*0.01)+('Fonterra (Tas)'!$J7*DASHBOARD!$C9*DASHBOARD!$E9*0.01)+('Fonterra (Tas)'!$K7*DASHBOARD!$C9*DASHBOARD!$D9*0.01)+('Fonterra (Tas)'!$L7*DASHBOARD!$C9*DASHBOARD!$E9*0.01)</f>
        <v>51689.599999999999</v>
      </c>
      <c r="H27" s="13">
        <f>(DASHBOARD!$C9*DASHBOARD!$D9*0.01*'Fonterra (Tas)'!$G23)+('Fonterra (Tas)'!$H23*DASHBOARD!$C9*DASHBOARD!$E9*0.01)+('Fonterra (Tas)'!$I23*DASHBOARD!$C9*DASHBOARD!$D9*0.01)+(DASHBOARD!$C9*DASHBOARD!$E9*0.01*'Fonterra (Tas)'!$J23)+('Fonterra (Tas)'!$K23*DASHBOARD!$C9*DASHBOARD!$D9*0.01)+('Fonterra (Tas)'!$L23*DASHBOARD!$C9*DASHBOARD!$E9*0.01)</f>
        <v>51689.599999999999</v>
      </c>
      <c r="I27" s="13">
        <f>('Lactalis (Vic, Tas, &amp; Riverina)'!$C12*DASHBOARD!$C9*DASHBOARD!$D9*0.01)+('Lactalis (Vic, Tas, &amp; Riverina)'!$D12*DASHBOARD!$C9*DASHBOARD!$E9*0.01)+('Lactalis (Vic, Tas, &amp; Riverina)'!$E12*DASHBOARD!$C9*DASHBOARD!$D9*0.01)+('Lactalis (Vic, Tas, &amp; Riverina)'!$F12*DASHBOARD!$C9*DASHBOARD!$E9*0.01)</f>
        <v>53432</v>
      </c>
      <c r="J27" s="13">
        <f>(Mondelez!$D8*DASHBOARD!$F9)+(Mondelez!$E8*DASHBOARD!$F9)</f>
        <v>27568.800000000003</v>
      </c>
      <c r="K27" s="13">
        <f>('Saputo (Tas)'!$C8*DASHBOARD!$C9*DASHBOARD!$D9*0.01)+('Saputo (Tas)'!$D8*DASHBOARD!$C9*DASHBOARD!$E9*0.01)+('Saputo (Tas)'!$E8*DASHBOARD!$C9*DASHBOARD!$D9*0.01)+('Saputo (Tas)'!$F8*DASHBOARD!$C9*DASHBOARD!$E9*0.01)+('Saputo (Tas)'!$G8*DASHBOARD!$C9*DASHBOARD!$D9*0.01)+('Saputo (Tas)'!$H9*DASHBOARD!$C9*DASHBOARD!$E9*0.01)</f>
        <v>53560</v>
      </c>
      <c r="L27" s="13">
        <f>(DASHBOARD!$C9*DASHBOARD!$D9*0.01*'Saputo (Tas)'!$C28)+(DASHBOARD!$C9*DASHBOARD!$E9*0.01*'Saputo (Tas)'!$D28)</f>
        <v>56784</v>
      </c>
      <c r="N27" s="39" t="s">
        <v>64</v>
      </c>
      <c r="O27" s="13">
        <f>(ACM!$D8*DASHBOARD!$D9*DASHBOARD!$C9*0.01)+(ACM!$E8*DASHBOARD!$E9*DASHBOARD!$C9*0.01)+(ACM!$F8*DASHBOARD!$C9)</f>
        <v>53252</v>
      </c>
      <c r="P27" s="13">
        <f>(ADFC!$C8*0.01*DASHBOARD!$C9*DASHBOARD!$D9)+(ADFC!$D8*0.01*DASHBOARD!$C9*DASHBOARD!$E9)+(ADFC!$E8*DASHBOARD!$C9*DASHBOARD!$D9*0.01)+(ADFC!$F8*DASHBOARD!$E9*DASHBOARD!$C9*0.01)</f>
        <v>55440</v>
      </c>
      <c r="Q27" s="13">
        <f>(DASHBOARD!$C9*DASHBOARD!$D9*0.01*'Bega (SE SA &amp; West Vic)'!$D38)+('Bega (SE SA &amp; West Vic)'!$E38*0.01*DASHBOARD!$C9*DASHBOARD!$E9)</f>
        <v>57240</v>
      </c>
      <c r="R27" s="13">
        <f>(DASHBOARD!$C9*DASHBOARD!$D9*0.01*'Bega (SE SA &amp; West Vic)'!$D24)+('Bega (SE SA &amp; West Vic)'!$E24*0.01*DASHBOARD!$C9*DASHBOARD!$E9)</f>
        <v>57033.599999999999</v>
      </c>
      <c r="S27" s="13">
        <f>('Bega (SE SA &amp; West Vic)'!$D8*DASHBOARD!$C9*DASHBOARD!$D9*0.01)+('Bega (SE SA &amp; West Vic)'!$E8*DASHBOARD!$C9*DASHBOARD!$E9*0.01)+('Bega (SE SA &amp; West Vic)'!$F8*DASHBOARD!$C9*DASHBOARD!$D9*0.01)+('Bega (SE SA &amp; West Vic)'!$G8*DASHBOARD!$C9*DASHBOARD!$E9*0.01)-('Bega (SE SA &amp; West Vic)'!$H8)</f>
        <v>52659.199999999997</v>
      </c>
      <c r="T27" s="13">
        <f>(Bulla!$C7*DASHBOARD!$F9)</f>
        <v>62280.000000000007</v>
      </c>
      <c r="U27" s="13">
        <f>(Bulla!$C21*DASHBOARD!$C9*DASHBOARD!$D9*0.01)+(Bulla!$D21*DASHBOARD!$C9*DASHBOARD!$E9*0.01)</f>
        <v>62278.400000000001</v>
      </c>
      <c r="V27" s="13">
        <f>('Coles (Vic, Riverina, &amp; SE SA)'!$D9*DASHBOARD!$C9*DASHBOARD!$D9*0.01)+('Coles (Vic, Riverina, &amp; SE SA)'!$E9*DASHBOARD!$C9*DASHBOARD!$E9*0.01)-('Coles (Vic, Riverina, &amp; SE SA)'!$F9)</f>
        <v>63726</v>
      </c>
      <c r="W27" s="13">
        <f>('DFMC (Vic)'!$F29*DASHBOARD!$C9*DASHBOARD!$D9*0.01)+('DFMC (Vic)'!$G29*DASHBOARD!$C9*DASHBOARD!$E9*0.01)+('DFMC (Vic)'!$H29*DASHBOARD!$F9)</f>
        <v>51527.200000000004</v>
      </c>
      <c r="X27" s="13">
        <f>('DFMC (Vic)'!$F43*DASHBOARD!$C9*DASHBOARD!$D9*0.01)+('DFMC (Vic)'!$G43*DASHBOARD!$C9*DASHBOARD!$E9*0.01)</f>
        <v>55190.400000000001</v>
      </c>
      <c r="Y27" s="13">
        <f>('DFMC (Vic)'!$F9*DASHBOARD!$C9*DASHBOARD!$D9*0.01)+('DFMC (Vic)'!$G9*DASHBOARD!$C9*DASHBOARD!$E9*0.01)+('DFMC (Vic)'!$H9*DASHBOARD!$F9)</f>
        <v>49953.600000000006</v>
      </c>
      <c r="Z27" s="13">
        <f>(DASHBOARD!$C9*DASHBOARD!$D9*0.01*'Saputo (SW Vic &amp; SA)'!$C8)+(DASHBOARD!$C9*DASHBOARD!$E9*0.01*'Saputo (SW Vic &amp; SA)'!$D8)+('Saputo (SW Vic &amp; SA)'!$E8*DASHBOARD!$C9*DASHBOARD!$D9*0.01)+('Saputo (SW Vic &amp; SA)'!$F8*DASHBOARD!$C9*DASHBOARD!$E9*0.01)+('Saputo (SW Vic &amp; SA)'!$G8*DASHBOARD!$C9*DASHBOARD!$D9*0.01)+('Saputo (SW Vic &amp; SA)'!$H8*DASHBOARD!$C9*DASHBOARD!$E9*0.01)</f>
        <v>54600</v>
      </c>
      <c r="AA27" s="13">
        <f>(DASHBOARD!$C9*DASHBOARD!$D9*0.01*'Saputo (SW Vic &amp; SA)'!$C29)+(DASHBOARD!$C9*DASHBOARD!$E9*0.01*'Saputo (SW Vic &amp; SA)'!$D29)</f>
        <v>57824</v>
      </c>
      <c r="AB27" s="13">
        <f>('Fonterra (SE SA &amp; West Vic)'!$H12*DASHBOARD!$C9*DASHBOARD!$D9*0.01)+('Fonterra (SE SA &amp; West Vic)'!$I12*DASHBOARD!$C9*DASHBOARD!$E9*0.01)+('Fonterra (SE SA &amp; West Vic)'!$J12*DASHBOARD!$C9*DASHBOARD!$D9*0.01)+('Fonterra (SE SA &amp; West Vic)'!$K12*DASHBOARD!$C9*DASHBOARD!$E9*0.01)+('Fonterra (SE SA &amp; West Vic)'!$L12*DASHBOARD!$C9*DASHBOARD!$D9*0.01)+('Fonterra (SE SA &amp; West Vic)'!$M12*DASHBOARD!$C9*DASHBOARD!$E9*0.01)</f>
        <v>63665.599999999999</v>
      </c>
      <c r="AC27" s="13">
        <f>(DASHBOARD!$C9*DASHBOARD!$D9*0.01*'Fonterra (SE SA &amp; West Vic)'!$H28)+('Fonterra (SE SA &amp; West Vic)'!$I28*DASHBOARD!$C9*DASHBOARD!$E9*0.01)+('Fonterra (SE SA &amp; West Vic)'!$J28*DASHBOARD!$C9*DASHBOARD!$D9*0.01)+('Fonterra (SE SA &amp; West Vic)'!$K28*DASHBOARD!$C9*DASHBOARD!$E9*0.01)+('Fonterra (SE SA &amp; West Vic)'!$L28*DASHBOARD!$C9*DASHBOARD!$D9*0.01)+('Fonterra (SE SA &amp; West Vic)'!$M28*DASHBOARD!$C9*DASHBOARD!$E9*0.01)</f>
        <v>63665.599999999999</v>
      </c>
      <c r="AD27" s="13">
        <f>(Frestine!$D8*DASHBOARD!$C9*DASHBOARD!$D9*0.01)+(Frestine!$E8*DASHBOARD!$C9*DASHBOARD!$E9*0.01)</f>
        <v>57616</v>
      </c>
      <c r="AE27" s="13">
        <f>DASHBOARD!$F9*Frestine!$D22</f>
        <v>57600.000000000007</v>
      </c>
      <c r="AF27" s="13">
        <f>('KY Valley (West Vic)'!$D8*DASHBOARD!$C9*DASHBOARD!$D9*0.01)+('KY Valley (West Vic)'!$E8*DASHBOARD!$C9*DASHBOARD!$E9*0.01)</f>
        <v>56088</v>
      </c>
      <c r="AG27" s="13">
        <f>('Lactalis (Gippsland &amp; West Vic)'!$D8*DASHBOARD!$C9*DASHBOARD!$D9*0.01)+('Lactalis (Gippsland &amp; West Vic)'!$E8*DASHBOARD!$C9*DASHBOARD!$E9*0.01)+('Lactalis (Gippsland &amp; West Vic)'!$F8*DASHBOARD!$C9*DASHBOARD!$D9*0.01)+('Lactalis (Gippsland &amp; West Vic)'!$G8*DASHBOARD!$C9*DASHBOARD!$E9*0.01)</f>
        <v>59168</v>
      </c>
      <c r="AH27" s="13">
        <f>(UDC!$C10*DASHBOARD!$C9*DASHBOARD!$D9*0.01)+(UDC!$D10*DASHBOARD!$C9*DASHBOARD!$E9*0.01)+(UDC!$E10*DASHBOARD!$F9)+(UDC!$F10*DASHBOARD!$F9)</f>
        <v>52610.400000000001</v>
      </c>
      <c r="AI27" s="13">
        <f>(DASHBOARD!$C10*DASHBOARD!$D10*0.01*UDC!$C25)+(UDC!$D25*0.01*DASHBOARD!$C10*DASHBOARD!$E10)+(DASHBOARD!$F10*UDC!$E25)+(UDC!$F25)</f>
        <v>55310.400000000009</v>
      </c>
    </row>
    <row r="28" spans="3:35">
      <c r="C28" s="11"/>
      <c r="D28" s="39" t="s">
        <v>65</v>
      </c>
      <c r="E28" s="13">
        <f>('Bega (Tas)'!$D9*DASHBOARD!$C10*DASHBOARD!$D10*0.01)+('Bega (Tas)'!$E9*DASHBOARD!$C10*DASHBOARD!$E10*0.01)+('Bega (Tas)'!$F9*DASHBOARD!$C10)-('Bega (Tas)'!$G9)</f>
        <v>52462</v>
      </c>
      <c r="F28" s="13">
        <f>('Coles (Tas)'!$D10*DASHBOARD!$C10*DASHBOARD!$D10*0.01)+('Coles (Tas)'!$E10*DASHBOARD!$C10*DASHBOARD!$E10*0.01)-('Coles (Tas)'!$F10)</f>
        <v>63651</v>
      </c>
      <c r="G28" s="13">
        <f>('Fonterra (Tas)'!$G8*DASHBOARD!$C10*DASHBOARD!$D10*0.01)+('Fonterra (Tas)'!$H8*DASHBOARD!$C10*DASHBOARD!$E10*0.01)+('Fonterra (Tas)'!$I8*DASHBOARD!$C10*DASHBOARD!$D10*0.01)+('Fonterra (Tas)'!$J8*DASHBOARD!$C10*DASHBOARD!$E10*0.01)+('Fonterra (Tas)'!$K8*DASHBOARD!$C10*DASHBOARD!$D10*0.01)+('Fonterra (Tas)'!$L8*DASHBOARD!$C10*DASHBOARD!$E10*0.01)</f>
        <v>56849.599999999999</v>
      </c>
      <c r="H28" s="13">
        <f>(DASHBOARD!$C10*DASHBOARD!$D10*0.01*'Fonterra (Tas)'!$G24)+('Fonterra (Tas)'!$H24*DASHBOARD!$C10*DASHBOARD!$E10*0.01)+('Fonterra (Tas)'!$I24*DASHBOARD!$C10*DASHBOARD!$D10*0.01)+(DASHBOARD!$C10*DASHBOARD!$E10*0.01*'Fonterra (Tas)'!$J24)+('Fonterra (Tas)'!$K24*DASHBOARD!$C10*DASHBOARD!$D10*0.01)+('Fonterra (Tas)'!$L24*DASHBOARD!$C10*DASHBOARD!$E10*0.01)</f>
        <v>55257.599999999999</v>
      </c>
      <c r="I28" s="13">
        <f>('Lactalis (Vic, Tas, &amp; Riverina)'!$C13*DASHBOARD!$C10*DASHBOARD!$D10*0.01)+('Lactalis (Vic, Tas, &amp; Riverina)'!$D13*DASHBOARD!$C10*DASHBOARD!$E10*0.01)+('Lactalis (Vic, Tas, &amp; Riverina)'!$E13*DASHBOARD!$C10*DASHBOARD!$D10*0.01)+('Lactalis (Vic, Tas, &amp; Riverina)'!$F13*DASHBOARD!$C10*DASHBOARD!$E10*0.01)</f>
        <v>60120</v>
      </c>
      <c r="J28" s="13">
        <f>(Mondelez!$D9*DASHBOARD!$F10)+(Mondelez!$E9*DASHBOARD!$F10)</f>
        <v>27568.800000000003</v>
      </c>
      <c r="K28" s="13">
        <f>('Saputo (Tas)'!$C9*DASHBOARD!$C10*DASHBOARD!$D10*0.01)+('Saputo (Tas)'!$D9*DASHBOARD!$C10*DASHBOARD!$E10*0.01)+('Saputo (Tas)'!$E9*DASHBOARD!$C10*DASHBOARD!$D10*0.01)+('Saputo (Tas)'!$F9*DASHBOARD!$C10*DASHBOARD!$E10*0.01)+('Saputo (Tas)'!$G9*DASHBOARD!$C10*DASHBOARD!$D10*0.01)+('Saputo (Tas)'!$H10*DASHBOARD!$C10*DASHBOARD!$E10*0.01)</f>
        <v>53560</v>
      </c>
      <c r="L28" s="13">
        <f>(DASHBOARD!$C10*DASHBOARD!$D10*0.01*'Saputo (Tas)'!$C29)+(DASHBOARD!$C10*DASHBOARD!$E10*0.01*'Saputo (Tas)'!$D29)</f>
        <v>56784</v>
      </c>
      <c r="N28" s="39" t="s">
        <v>65</v>
      </c>
      <c r="O28" s="13">
        <f>(ACM!$D9*DASHBOARD!$D10*DASHBOARD!$C10*0.01)+(ACM!$E9*DASHBOARD!$E10*DASHBOARD!$C10*0.01)+(ACM!$F9*DASHBOARD!$C10)</f>
        <v>57564</v>
      </c>
      <c r="P28" s="13">
        <f>(ADFC!$C9*0.01*DASHBOARD!$C10*DASHBOARD!$D10)+(ADFC!$D9*0.01*DASHBOARD!$C10*DASHBOARD!$E10)+(ADFC!$E9*DASHBOARD!$C10*DASHBOARD!$D10*0.01)+(ADFC!$F9*DASHBOARD!$E10*DASHBOARD!$C10*0.01)</f>
        <v>55440</v>
      </c>
      <c r="Q28" s="13">
        <f>(DASHBOARD!$C10*DASHBOARD!$D10*0.01*'Bega (SE SA &amp; West Vic)'!$D39)+('Bega (SE SA &amp; West Vic)'!$E39*0.01*DASHBOARD!$C10*DASHBOARD!$E10)</f>
        <v>57240</v>
      </c>
      <c r="R28" s="13">
        <f>(DASHBOARD!$C10*DASHBOARD!$D10*0.01*'Bega (SE SA &amp; West Vic)'!$D25)+('Bega (SE SA &amp; West Vic)'!$E25*0.01*DASHBOARD!$C10*DASHBOARD!$E10)</f>
        <v>57033.599999999999</v>
      </c>
      <c r="S28" s="13">
        <f>('Bega (SE SA &amp; West Vic)'!$D9*DASHBOARD!$C10*DASHBOARD!$D10*0.01)+('Bega (SE SA &amp; West Vic)'!$E9*DASHBOARD!$C10*DASHBOARD!$E10*0.01)+('Bega (SE SA &amp; West Vic)'!$F9*DASHBOARD!$C10*DASHBOARD!$D10*0.01)+('Bega (SE SA &amp; West Vic)'!$G9*DASHBOARD!$C10*DASHBOARD!$E10*0.01)-('Bega (SE SA &amp; West Vic)'!$H9)</f>
        <v>56312</v>
      </c>
      <c r="T28" s="13">
        <f>(Bulla!$C8*DASHBOARD!$F10)</f>
        <v>62280.000000000007</v>
      </c>
      <c r="U28" s="13">
        <f>(Bulla!$C22*DASHBOARD!$C10*DASHBOARD!$D10*0.01)+(Bulla!$D22*DASHBOARD!$C10*DASHBOARD!$E10*0.01)</f>
        <v>62278.400000000001</v>
      </c>
      <c r="V28" s="13">
        <f>('Coles (Vic, Riverina, &amp; SE SA)'!$D10*DASHBOARD!$C10*DASHBOARD!$D10*0.01)+('Coles (Vic, Riverina, &amp; SE SA)'!$E10*DASHBOARD!$C10*DASHBOARD!$E10*0.01)-('Coles (Vic, Riverina, &amp; SE SA)'!$F10)</f>
        <v>63651</v>
      </c>
      <c r="W28" s="13">
        <f>('DFMC (Vic)'!$F30*DASHBOARD!$C10*DASHBOARD!$D10*0.01)+('DFMC (Vic)'!$G30*DASHBOARD!$C10*DASHBOARD!$E10*0.01)+('DFMC (Vic)'!$H30*DASHBOARD!$F10)</f>
        <v>55191.200000000004</v>
      </c>
      <c r="X28" s="13">
        <f>('DFMC (Vic)'!$F44*DASHBOARD!$C10*DASHBOARD!$D10*0.01)+('DFMC (Vic)'!$G44*DASHBOARD!$C10*DASHBOARD!$E10*0.01)</f>
        <v>55190.400000000001</v>
      </c>
      <c r="Y28" s="13">
        <f>('DFMC (Vic)'!$F10*DASHBOARD!$C10*DASHBOARD!$D10*0.01)+('DFMC (Vic)'!$G10*DASHBOARD!$C10*DASHBOARD!$E10*0.01)+('DFMC (Vic)'!$H10*DASHBOARD!$F10)</f>
        <v>49953.600000000006</v>
      </c>
      <c r="Z28" s="13">
        <f>(DASHBOARD!$C10*DASHBOARD!$D10*0.01*'Saputo (SW Vic &amp; SA)'!$C9)+(DASHBOARD!$C10*DASHBOARD!$E10*0.01*'Saputo (SW Vic &amp; SA)'!$D9)+('Saputo (SW Vic &amp; SA)'!$E9*DASHBOARD!$C10*DASHBOARD!$D10*0.01)+('Saputo (SW Vic &amp; SA)'!$F9*DASHBOARD!$C10*DASHBOARD!$E10*0.01)+('Saputo (SW Vic &amp; SA)'!$G9*DASHBOARD!$C10*DASHBOARD!$D10*0.01)+('Saputo (SW Vic &amp; SA)'!$H9*DASHBOARD!$C10*DASHBOARD!$E10*0.01)</f>
        <v>54600</v>
      </c>
      <c r="AA28" s="13">
        <f>(DASHBOARD!$C10*DASHBOARD!$D10*0.01*'Saputo (SW Vic &amp; SA)'!$C30)+(DASHBOARD!$C10*DASHBOARD!$E10*0.01*'Saputo (SW Vic &amp; SA)'!$D30)</f>
        <v>57824</v>
      </c>
      <c r="AB28" s="13">
        <f>('Fonterra (SE SA &amp; West Vic)'!$H13*DASHBOARD!$C10*DASHBOARD!$D10*0.01)+('Fonterra (SE SA &amp; West Vic)'!$I13*DASHBOARD!$C10*DASHBOARD!$E10*0.01)+('Fonterra (SE SA &amp; West Vic)'!$J13*DASHBOARD!$C10*DASHBOARD!$D10*0.01)+('Fonterra (SE SA &amp; West Vic)'!$K13*DASHBOARD!$C10*DASHBOARD!$E10*0.01)+('Fonterra (SE SA &amp; West Vic)'!$L13*DASHBOARD!$C10*DASHBOARD!$D10*0.01)+('Fonterra (SE SA &amp; West Vic)'!$M13*DASHBOARD!$C10*DASHBOARD!$E10*0.01)</f>
        <v>63665.599999999999</v>
      </c>
      <c r="AC28" s="13">
        <f>(DASHBOARD!$C10*DASHBOARD!$D10*0.01*'Fonterra (SE SA &amp; West Vic)'!$H29)+('Fonterra (SE SA &amp; West Vic)'!$I29*DASHBOARD!$C10*DASHBOARD!$E10*0.01)+('Fonterra (SE SA &amp; West Vic)'!$J29*DASHBOARD!$C10*DASHBOARD!$D10*0.01)+('Fonterra (SE SA &amp; West Vic)'!$K29*DASHBOARD!$C10*DASHBOARD!$E10*0.01)+('Fonterra (SE SA &amp; West Vic)'!$L29*DASHBOARD!$C10*DASHBOARD!$D10*0.01)+('Fonterra (SE SA &amp; West Vic)'!$M29*DASHBOARD!$C10*DASHBOARD!$E10*0.01)</f>
        <v>63665.599999999999</v>
      </c>
      <c r="AD28" s="13">
        <f>(Frestine!$D9*DASHBOARD!$C10*DASHBOARD!$D10*0.01)+(Frestine!$E9*DASHBOARD!$C10*DASHBOARD!$E10*0.01)</f>
        <v>57616</v>
      </c>
      <c r="AE28" s="13">
        <f>DASHBOARD!$F10*Frestine!$D23</f>
        <v>57600.000000000007</v>
      </c>
      <c r="AF28" s="13">
        <f>('KY Valley (West Vic)'!$D9*DASHBOARD!$C10*DASHBOARD!$D10*0.01)+('KY Valley (West Vic)'!$E9*DASHBOARD!$C10*DASHBOARD!$E10*0.01)</f>
        <v>56088</v>
      </c>
      <c r="AG28" s="13">
        <f>('Lactalis (Gippsland &amp; West Vic)'!$D9*DASHBOARD!$C10*DASHBOARD!$D10*0.01)+('Lactalis (Gippsland &amp; West Vic)'!$E9*DASHBOARD!$C10*DASHBOARD!$E10*0.01)+('Lactalis (Gippsland &amp; West Vic)'!$F9*DASHBOARD!$C10*DASHBOARD!$D10*0.01)+('Lactalis (Gippsland &amp; West Vic)'!$G9*DASHBOARD!$C10*DASHBOARD!$E10*0.01)</f>
        <v>66808</v>
      </c>
      <c r="AH28" s="13">
        <f>(UDC!$C11*DASHBOARD!$C10*DASHBOARD!$D10*0.01)+(UDC!$D11*DASHBOARD!$C10*DASHBOARD!$E10*0.01)+(UDC!$E11*DASHBOARD!$F10)+(UDC!$F11*DASHBOARD!$F10)</f>
        <v>52610.400000000001</v>
      </c>
      <c r="AI28" s="13">
        <f>(DASHBOARD!$C11*DASHBOARD!$D11*0.01*UDC!$C26)+(UDC!$D26*0.01*DASHBOARD!$C11*DASHBOARD!$E11)+(DASHBOARD!$F11*UDC!$E26)+(UDC!$F26)</f>
        <v>66110.400000000009</v>
      </c>
    </row>
    <row r="29" spans="3:35">
      <c r="C29" s="11"/>
      <c r="D29" s="39" t="s">
        <v>66</v>
      </c>
      <c r="E29" s="13">
        <f>('Bega (Tas)'!$D10*DASHBOARD!$C11*DASHBOARD!$D11*0.01)+('Bega (Tas)'!$E10*DASHBOARD!$C11*DASHBOARD!$E11*0.01)+('Bega (Tas)'!$F10*DASHBOARD!$C11)-('Bega (Tas)'!$G10)</f>
        <v>57390</v>
      </c>
      <c r="F29" s="13">
        <f>('Coles (Tas)'!$D11*DASHBOARD!$C11*DASHBOARD!$D11*0.01)+('Coles (Tas)'!$E11*DASHBOARD!$C11*DASHBOARD!$E11*0.01)-('Coles (Tas)'!$F11)</f>
        <v>75435</v>
      </c>
      <c r="G29" s="13">
        <f>('Fonterra (Tas)'!$G9*DASHBOARD!$C11*DASHBOARD!$D11*0.01)+('Fonterra (Tas)'!$H9*DASHBOARD!$C11*DASHBOARD!$E11*0.01)+('Fonterra (Tas)'!$I9*DASHBOARD!$C11*DASHBOARD!$D11*0.01)+('Fonterra (Tas)'!$J9*DASHBOARD!$C11*DASHBOARD!$E11*0.01)+('Fonterra (Tas)'!$K9*DASHBOARD!$C11*DASHBOARD!$D11*0.01)+('Fonterra (Tas)'!$L9*DASHBOARD!$C11*DASHBOARD!$E11*0.01)</f>
        <v>57945.599999999999</v>
      </c>
      <c r="H29" s="13">
        <f>(DASHBOARD!$C11*DASHBOARD!$D11*0.01*'Fonterra (Tas)'!$G25)+('Fonterra (Tas)'!$H25*DASHBOARD!$C11*DASHBOARD!$E11*0.01)+('Fonterra (Tas)'!$I25*DASHBOARD!$C11*DASHBOARD!$D11*0.01)+(DASHBOARD!$C11*DASHBOARD!$E11*0.01*'Fonterra (Tas)'!$J25)+('Fonterra (Tas)'!$K25*DASHBOARD!$C11*DASHBOARD!$D11*0.01)+('Fonterra (Tas)'!$L25*DASHBOARD!$C11*DASHBOARD!$E11*0.01)</f>
        <v>56353.599999999999</v>
      </c>
      <c r="I29" s="13">
        <f>('Lactalis (Vic, Tas, &amp; Riverina)'!$C14*DASHBOARD!$C11*DASHBOARD!$D11*0.01)+('Lactalis (Vic, Tas, &amp; Riverina)'!$D14*DASHBOARD!$C11*DASHBOARD!$E11*0.01)+('Lactalis (Vic, Tas, &amp; Riverina)'!$E14*DASHBOARD!$C11*DASHBOARD!$D11*0.01)+('Lactalis (Vic, Tas, &amp; Riverina)'!$F14*DASHBOARD!$C11*DASHBOARD!$E11*0.01)</f>
        <v>72544</v>
      </c>
      <c r="J29" s="13">
        <f>(Mondelez!$D10*DASHBOARD!$F11)+(Mondelez!$E10*DASHBOARD!$F11)</f>
        <v>30312.000000000004</v>
      </c>
      <c r="K29" s="13">
        <f>('Saputo (Tas)'!$C10*DASHBOARD!$C11*DASHBOARD!$D11*0.01)+('Saputo (Tas)'!$D10*DASHBOARD!$C11*DASHBOARD!$E11*0.01)+('Saputo (Tas)'!$E10*DASHBOARD!$C11*DASHBOARD!$D11*0.01)+('Saputo (Tas)'!$F10*DASHBOARD!$C11*DASHBOARD!$E11*0.01)+('Saputo (Tas)'!$G10*DASHBOARD!$C11*DASHBOARD!$D11*0.01)+('Saputo (Tas)'!$H11*DASHBOARD!$C11*DASHBOARD!$E11*0.01)</f>
        <v>61776</v>
      </c>
      <c r="L29" s="13">
        <f>(DASHBOARD!$C11*DASHBOARD!$D11*0.01*'Saputo (Tas)'!$C30)+(DASHBOARD!$C11*DASHBOARD!$E11*0.01*'Saputo (Tas)'!$D30)</f>
        <v>56784</v>
      </c>
      <c r="N29" s="39" t="s">
        <v>66</v>
      </c>
      <c r="O29" s="13">
        <f>(ACM!$D10*DASHBOARD!$D11*DASHBOARD!$C11*0.01)+(ACM!$E10*DASHBOARD!$E11*DASHBOARD!$C11*0.01)+(ACM!$F10*DASHBOARD!$C11)</f>
        <v>57564</v>
      </c>
      <c r="P29" s="13">
        <f>(ADFC!$C10*0.01*DASHBOARD!$C11*DASHBOARD!$D11)+(ADFC!$D10*0.01*DASHBOARD!$C11*DASHBOARD!$E11)+(ADFC!$E10*DASHBOARD!$C11*DASHBOARD!$D11*0.01)+(ADFC!$F10*DASHBOARD!$E11*DASHBOARD!$C11*0.01)</f>
        <v>62656</v>
      </c>
      <c r="Q29" s="13">
        <f>(DASHBOARD!$C11*DASHBOARD!$D11*0.01*'Bega (SE SA &amp; West Vic)'!$D40)+('Bega (SE SA &amp; West Vic)'!$E40*0.01*DASHBOARD!$C11*DASHBOARD!$E11)</f>
        <v>57240</v>
      </c>
      <c r="R29" s="13">
        <f>(DASHBOARD!$C11*DASHBOARD!$D11*0.01*'Bega (SE SA &amp; West Vic)'!$D26)+('Bega (SE SA &amp; West Vic)'!$E26*0.01*DASHBOARD!$C11*DASHBOARD!$E11)</f>
        <v>57033.599999999999</v>
      </c>
      <c r="S29" s="13">
        <f>('Bega (SE SA &amp; West Vic)'!$D10*DASHBOARD!$C11*DASHBOARD!$D11*0.01)+('Bega (SE SA &amp; West Vic)'!$E10*DASHBOARD!$C11*DASHBOARD!$E11*0.01)+('Bega (SE SA &amp; West Vic)'!$F10*DASHBOARD!$C11*DASHBOARD!$D11*0.01)+('Bega (SE SA &amp; West Vic)'!$G10*DASHBOARD!$C11*DASHBOARD!$E11*0.01)-('Bega (SE SA &amp; West Vic)'!$H10)</f>
        <v>56312</v>
      </c>
      <c r="T29" s="13">
        <f>(Bulla!$C9*DASHBOARD!$F11)</f>
        <v>62280.000000000007</v>
      </c>
      <c r="U29" s="13">
        <f>(Bulla!$C23*DASHBOARD!$C11*DASHBOARD!$D11*0.01)+(Bulla!$D23*DASHBOARD!$C11*DASHBOARD!$E11*0.01)</f>
        <v>62278.400000000001</v>
      </c>
      <c r="V29" s="13">
        <f>('Coles (Vic, Riverina, &amp; SE SA)'!$D11*DASHBOARD!$C11*DASHBOARD!$D11*0.01)+('Coles (Vic, Riverina, &amp; SE SA)'!$E11*DASHBOARD!$C11*DASHBOARD!$E11*0.01)-('Coles (Vic, Riverina, &amp; SE SA)'!$F11)</f>
        <v>75435</v>
      </c>
      <c r="W29" s="13">
        <f>('DFMC (Vic)'!$F31*DASHBOARD!$C11*DASHBOARD!$D11*0.01)+('DFMC (Vic)'!$G31*DASHBOARD!$C11*DASHBOARD!$E11*0.01)+('DFMC (Vic)'!$H31*DASHBOARD!$F11)</f>
        <v>55191.200000000004</v>
      </c>
      <c r="X29" s="13">
        <f>('DFMC (Vic)'!$F45*DASHBOARD!$C11*DASHBOARD!$D11*0.01)+('DFMC (Vic)'!$G45*DASHBOARD!$C11*DASHBOARD!$E11*0.01)</f>
        <v>55190.400000000001</v>
      </c>
      <c r="Y29" s="13">
        <f>('DFMC (Vic)'!$F11*DASHBOARD!$C11*DASHBOARD!$D11*0.01)+('DFMC (Vic)'!$G11*DASHBOARD!$C11*DASHBOARD!$E11*0.01)+('DFMC (Vic)'!$H11*DASHBOARD!$F11)</f>
        <v>51882.400000000009</v>
      </c>
      <c r="Z29" s="13">
        <f>(DASHBOARD!$C11*DASHBOARD!$D11*0.01*'Saputo (SW Vic &amp; SA)'!$C10)+(DASHBOARD!$C11*DASHBOARD!$E11*0.01*'Saputo (SW Vic &amp; SA)'!$D10)+('Saputo (SW Vic &amp; SA)'!$E10*DASHBOARD!$C11*DASHBOARD!$D11*0.01)+('Saputo (SW Vic &amp; SA)'!$F10*DASHBOARD!$C11*DASHBOARD!$E11*0.01)+('Saputo (SW Vic &amp; SA)'!$G10*DASHBOARD!$C11*DASHBOARD!$D11*0.01)+('Saputo (SW Vic &amp; SA)'!$H10*DASHBOARD!$C11*DASHBOARD!$E11*0.01)</f>
        <v>62816</v>
      </c>
      <c r="AA29" s="13">
        <f>(DASHBOARD!$C11*DASHBOARD!$D11*0.01*'Saputo (SW Vic &amp; SA)'!$C31)+(DASHBOARD!$C11*DASHBOARD!$E11*0.01*'Saputo (SW Vic &amp; SA)'!$D31)</f>
        <v>57824</v>
      </c>
      <c r="AB29" s="13">
        <f>('Fonterra (SE SA &amp; West Vic)'!$H14*DASHBOARD!$C11*DASHBOARD!$D11*0.01)+('Fonterra (SE SA &amp; West Vic)'!$I14*DASHBOARD!$C11*DASHBOARD!$E11*0.01)+('Fonterra (SE SA &amp; West Vic)'!$J14*DASHBOARD!$C11*DASHBOARD!$D11*0.01)+('Fonterra (SE SA &amp; West Vic)'!$K14*DASHBOARD!$C11*DASHBOARD!$E11*0.01)+('Fonterra (SE SA &amp; West Vic)'!$L14*DASHBOARD!$C11*DASHBOARD!$D11*0.01)+('Fonterra (SE SA &amp; West Vic)'!$M14*DASHBOARD!$C11*DASHBOARD!$E11*0.01)</f>
        <v>68825.600000000006</v>
      </c>
      <c r="AC29" s="13">
        <f>(DASHBOARD!$C11*DASHBOARD!$D11*0.01*'Fonterra (SE SA &amp; West Vic)'!$H30)+('Fonterra (SE SA &amp; West Vic)'!$I30*DASHBOARD!$C11*DASHBOARD!$E11*0.01)+('Fonterra (SE SA &amp; West Vic)'!$J30*DASHBOARD!$C11*DASHBOARD!$D11*0.01)+('Fonterra (SE SA &amp; West Vic)'!$K30*DASHBOARD!$C11*DASHBOARD!$E11*0.01)+('Fonterra (SE SA &amp; West Vic)'!$L30*DASHBOARD!$C11*DASHBOARD!$D11*0.01)+('Fonterra (SE SA &amp; West Vic)'!$M30*DASHBOARD!$C11*DASHBOARD!$E11*0.01)</f>
        <v>63665.599999999999</v>
      </c>
      <c r="AD29" s="13">
        <f>(Frestine!$D10*DASHBOARD!$C11*DASHBOARD!$D11*0.01)+(Frestine!$E10*DASHBOARD!$C11*DASHBOARD!$E11*0.01)</f>
        <v>57616</v>
      </c>
      <c r="AE29" s="13">
        <f>DASHBOARD!$F11*Frestine!$D24</f>
        <v>57600.000000000007</v>
      </c>
      <c r="AF29" s="13">
        <f>('KY Valley (West Vic)'!$D10*DASHBOARD!$C11*DASHBOARD!$D11*0.01)+('KY Valley (West Vic)'!$E10*DASHBOARD!$C11*DASHBOARD!$E11*0.01)</f>
        <v>56088</v>
      </c>
      <c r="AG29" s="13">
        <f>('Lactalis (Gippsland &amp; West Vic)'!$D10*DASHBOARD!$C11*DASHBOARD!$D11*0.01)+('Lactalis (Gippsland &amp; West Vic)'!$E10*DASHBOARD!$C11*DASHBOARD!$E11*0.01)+('Lactalis (Gippsland &amp; West Vic)'!$F10*DASHBOARD!$C11*DASHBOARD!$D11*0.01)+('Lactalis (Gippsland &amp; West Vic)'!$G10*DASHBOARD!$C11*DASHBOARD!$E11*0.01)</f>
        <v>66808</v>
      </c>
      <c r="AH29" s="13">
        <f>(UDC!$C12*DASHBOARD!$C11*DASHBOARD!$D11*0.01)+(UDC!$D12*DASHBOARD!$C11*DASHBOARD!$E11*0.01)+(UDC!$E12*DASHBOARD!$F11)+(UDC!$F12*DASHBOARD!$F11)</f>
        <v>59810.400000000001</v>
      </c>
      <c r="AI29" s="13">
        <f>(DASHBOARD!$C12*DASHBOARD!$D12*0.01*UDC!$C27)+(UDC!$D27*0.01*DASHBOARD!$C12*DASHBOARD!$E12)+(DASHBOARD!$F12*UDC!$E27)+(UDC!$F27)</f>
        <v>66110.400000000009</v>
      </c>
    </row>
    <row r="30" spans="3:35">
      <c r="C30" s="11"/>
      <c r="D30" s="39" t="s">
        <v>67</v>
      </c>
      <c r="E30" s="13">
        <f>('Bega (Tas)'!$D11*DASHBOARD!$C12*DASHBOARD!$D12*0.01)+('Bega (Tas)'!$E11*DASHBOARD!$C12*DASHBOARD!$E12*0.01)+('Bega (Tas)'!$F11*DASHBOARD!$C12)-('Bega (Tas)'!$G11)</f>
        <v>63228</v>
      </c>
      <c r="F30" s="13">
        <f>('Coles (Tas)'!$D12*DASHBOARD!$C12*DASHBOARD!$D12*0.01)+('Coles (Tas)'!$E12*DASHBOARD!$C12*DASHBOARD!$E12*0.01)-('Coles (Tas)'!$F12)</f>
        <v>75660</v>
      </c>
      <c r="G30" s="13">
        <f>('Fonterra (Tas)'!$G10*DASHBOARD!$C12*DASHBOARD!$D12*0.01)+('Fonterra (Tas)'!$H10*DASHBOARD!$C12*DASHBOARD!$E12*0.01)+('Fonterra (Tas)'!$I10*DASHBOARD!$C12*DASHBOARD!$D12*0.01)+('Fonterra (Tas)'!$J10*DASHBOARD!$C12*DASHBOARD!$E12*0.01)+('Fonterra (Tas)'!$K10*DASHBOARD!$C12*DASHBOARD!$D12*0.01)+('Fonterra (Tas)'!$L10*DASHBOARD!$C12*DASHBOARD!$E12*0.01)</f>
        <v>57945.599999999999</v>
      </c>
      <c r="H30" s="13">
        <f>(DASHBOARD!$C12*DASHBOARD!$D12*0.01*'Fonterra (Tas)'!$G26)+('Fonterra (Tas)'!$H26*DASHBOARD!$C12*DASHBOARD!$E12*0.01)+('Fonterra (Tas)'!$I26*DASHBOARD!$C12*DASHBOARD!$D12*0.01)+(DASHBOARD!$C12*DASHBOARD!$E12*0.01*'Fonterra (Tas)'!$J26)+('Fonterra (Tas)'!$K26*DASHBOARD!$C12*DASHBOARD!$D12*0.01)+('Fonterra (Tas)'!$L26*DASHBOARD!$C12*DASHBOARD!$E12*0.01)</f>
        <v>56353.599999999999</v>
      </c>
      <c r="I30" s="13">
        <f>('Lactalis (Vic, Tas, &amp; Riverina)'!$C15*DASHBOARD!$C12*DASHBOARD!$D12*0.01)+('Lactalis (Vic, Tas, &amp; Riverina)'!$D15*DASHBOARD!$C12*DASHBOARD!$E12*0.01)+('Lactalis (Vic, Tas, &amp; Riverina)'!$E15*DASHBOARD!$C12*DASHBOARD!$D12*0.01)+('Lactalis (Vic, Tas, &amp; Riverina)'!$F15*DASHBOARD!$C12*DASHBOARD!$E12*0.01)</f>
        <v>72544</v>
      </c>
      <c r="J30" s="13">
        <f>(Mondelez!$D11*DASHBOARD!$F12)+(Mondelez!$E11*DASHBOARD!$F12)</f>
        <v>31536.000000000004</v>
      </c>
      <c r="K30" s="13">
        <f>('Saputo (Tas)'!$C11*DASHBOARD!$C12*DASHBOARD!$D12*0.01)+('Saputo (Tas)'!$D11*DASHBOARD!$C12*DASHBOARD!$E12*0.01)+('Saputo (Tas)'!$E11*DASHBOARD!$C12*DASHBOARD!$D12*0.01)+('Saputo (Tas)'!$F11*DASHBOARD!$C12*DASHBOARD!$E12*0.01)+('Saputo (Tas)'!$G11*DASHBOARD!$C12*DASHBOARD!$D12*0.01)+('Saputo (Tas)'!$H12*DASHBOARD!$C12*DASHBOARD!$E12*0.01)</f>
        <v>61776</v>
      </c>
      <c r="L30" s="13">
        <f>(DASHBOARD!$C12*DASHBOARD!$D12*0.01*'Saputo (Tas)'!$C31)+(DASHBOARD!$C12*DASHBOARD!$E12*0.01*'Saputo (Tas)'!$D31)</f>
        <v>56784</v>
      </c>
      <c r="N30" s="39" t="s">
        <v>67</v>
      </c>
      <c r="O30" s="13">
        <f>(ACM!$D11*DASHBOARD!$D12*DASHBOARD!$C12*0.01)+(ACM!$E11*DASHBOARD!$E12*DASHBOARD!$C12*0.01)+(ACM!$F11*DASHBOARD!$C12)</f>
        <v>57564</v>
      </c>
      <c r="P30" s="13">
        <f>(ADFC!$C11*0.01*DASHBOARD!$C12*DASHBOARD!$D12)+(ADFC!$D11*0.01*DASHBOARD!$C12*DASHBOARD!$E12)+(ADFC!$E11*DASHBOARD!$C12*DASHBOARD!$D12*0.01)+(ADFC!$F11*DASHBOARD!$E12*DASHBOARD!$C12*0.01)</f>
        <v>62656</v>
      </c>
      <c r="Q30" s="13">
        <f>(DASHBOARD!$C12*DASHBOARD!$D12*0.01*'Bega (SE SA &amp; West Vic)'!$D41)+('Bega (SE SA &amp; West Vic)'!$E41*0.01*DASHBOARD!$C12*DASHBOARD!$E12)</f>
        <v>57240</v>
      </c>
      <c r="R30" s="13">
        <f>(DASHBOARD!$C12*DASHBOARD!$D12*0.01*'Bega (SE SA &amp; West Vic)'!$D27)+('Bega (SE SA &amp; West Vic)'!$E27*0.01*DASHBOARD!$C12*DASHBOARD!$E12)</f>
        <v>57033.599999999999</v>
      </c>
      <c r="S30" s="13">
        <f>('Bega (SE SA &amp; West Vic)'!$D11*DASHBOARD!$C12*DASHBOARD!$D12*0.01)+('Bega (SE SA &amp; West Vic)'!$E11*DASHBOARD!$C12*DASHBOARD!$E12*0.01)+('Bega (SE SA &amp; West Vic)'!$F11*DASHBOARD!$C12*DASHBOARD!$D12*0.01)+('Bega (SE SA &amp; West Vic)'!$G11*DASHBOARD!$C12*DASHBOARD!$E12*0.01)-('Bega (SE SA &amp; West Vic)'!$H11)</f>
        <v>56336</v>
      </c>
      <c r="T30" s="13">
        <f>(Bulla!$C10*DASHBOARD!$F12)</f>
        <v>62280.000000000007</v>
      </c>
      <c r="U30" s="13">
        <f>(Bulla!$C24*DASHBOARD!$C12*DASHBOARD!$D12*0.01)+(Bulla!$D24*DASHBOARD!$C12*DASHBOARD!$E12*0.01)</f>
        <v>62278.400000000001</v>
      </c>
      <c r="V30" s="13">
        <f>('Coles (Vic, Riverina, &amp; SE SA)'!$D12*DASHBOARD!$C12*DASHBOARD!$D12*0.01)+('Coles (Vic, Riverina, &amp; SE SA)'!$E12*DASHBOARD!$C12*DASHBOARD!$E12*0.01)-('Coles (Vic, Riverina, &amp; SE SA)'!$F12)</f>
        <v>75660</v>
      </c>
      <c r="W30" s="13">
        <f>('DFMC (Vic)'!$F32*DASHBOARD!$C12*DASHBOARD!$D12*0.01)+('DFMC (Vic)'!$G32*DASHBOARD!$C12*DASHBOARD!$E12*0.01)+('DFMC (Vic)'!$H32*DASHBOARD!$F12)</f>
        <v>55191.200000000004</v>
      </c>
      <c r="X30" s="13">
        <f>('DFMC (Vic)'!$F46*DASHBOARD!$C12*DASHBOARD!$D12*0.01)+('DFMC (Vic)'!$G46*DASHBOARD!$C12*DASHBOARD!$E12*0.01)</f>
        <v>55190.400000000001</v>
      </c>
      <c r="Y30" s="13">
        <f>('DFMC (Vic)'!$F12*DASHBOARD!$C12*DASHBOARD!$D12*0.01)+('DFMC (Vic)'!$G12*DASHBOARD!$C12*DASHBOARD!$E12*0.01)+('DFMC (Vic)'!$H12*DASHBOARD!$F12)</f>
        <v>55040</v>
      </c>
      <c r="Z30" s="13">
        <f>(DASHBOARD!$C12*DASHBOARD!$D12*0.01*'Saputo (SW Vic &amp; SA)'!$C11)+(DASHBOARD!$C12*DASHBOARD!$E12*0.01*'Saputo (SW Vic &amp; SA)'!$D11)+('Saputo (SW Vic &amp; SA)'!$E11*DASHBOARD!$C12*DASHBOARD!$D12*0.01)+('Saputo (SW Vic &amp; SA)'!$F11*DASHBOARD!$C12*DASHBOARD!$E12*0.01)+('Saputo (SW Vic &amp; SA)'!$G11*DASHBOARD!$C12*DASHBOARD!$D12*0.01)+('Saputo (SW Vic &amp; SA)'!$H11*DASHBOARD!$C12*DASHBOARD!$E12*0.01)</f>
        <v>62816</v>
      </c>
      <c r="AA30" s="13">
        <f>(DASHBOARD!$C12*DASHBOARD!$D12*0.01*'Saputo (SW Vic &amp; SA)'!$C32)+(DASHBOARD!$C12*DASHBOARD!$E12*0.01*'Saputo (SW Vic &amp; SA)'!$D32)</f>
        <v>57824</v>
      </c>
      <c r="AB30" s="13">
        <f>('Fonterra (SE SA &amp; West Vic)'!$H15*DASHBOARD!$C12*DASHBOARD!$D12*0.01)+('Fonterra (SE SA &amp; West Vic)'!$I15*DASHBOARD!$C12*DASHBOARD!$E12*0.01)+('Fonterra (SE SA &amp; West Vic)'!$J15*DASHBOARD!$C12*DASHBOARD!$D12*0.01)+('Fonterra (SE SA &amp; West Vic)'!$K15*DASHBOARD!$C12*DASHBOARD!$E12*0.01)+('Fonterra (SE SA &amp; West Vic)'!$L15*DASHBOARD!$C12*DASHBOARD!$D12*0.01)+('Fonterra (SE SA &amp; West Vic)'!$M15*DASHBOARD!$C12*DASHBOARD!$E12*0.01)</f>
        <v>68825.600000000006</v>
      </c>
      <c r="AC30" s="13">
        <f>(DASHBOARD!$C12*DASHBOARD!$D12*0.01*'Fonterra (SE SA &amp; West Vic)'!$H31)+('Fonterra (SE SA &amp; West Vic)'!$I31*DASHBOARD!$C12*DASHBOARD!$E12*0.01)+('Fonterra (SE SA &amp; West Vic)'!$J31*DASHBOARD!$C12*DASHBOARD!$D12*0.01)+('Fonterra (SE SA &amp; West Vic)'!$K31*DASHBOARD!$C12*DASHBOARD!$E12*0.01)+('Fonterra (SE SA &amp; West Vic)'!$L31*DASHBOARD!$C12*DASHBOARD!$D12*0.01)+('Fonterra (SE SA &amp; West Vic)'!$M31*DASHBOARD!$C12*DASHBOARD!$E12*0.01)</f>
        <v>67233.600000000006</v>
      </c>
      <c r="AD30" s="13">
        <f>(Frestine!$D11*DASHBOARD!$C12*DASHBOARD!$D12*0.01)+(Frestine!$E11*DASHBOARD!$C12*DASHBOARD!$E12*0.01)</f>
        <v>57616</v>
      </c>
      <c r="AE30" s="13">
        <f>DASHBOARD!$F12*Frestine!$D25</f>
        <v>57600.000000000007</v>
      </c>
      <c r="AF30" s="13">
        <f>('KY Valley (West Vic)'!$D11*DASHBOARD!$C12*DASHBOARD!$D12*0.01)+('KY Valley (West Vic)'!$E11*DASHBOARD!$C12*DASHBOARD!$E12*0.01)</f>
        <v>56088</v>
      </c>
      <c r="AG30" s="13">
        <f>('Lactalis (Gippsland &amp; West Vic)'!$D11*DASHBOARD!$C12*DASHBOARD!$D12*0.01)+('Lactalis (Gippsland &amp; West Vic)'!$E11*DASHBOARD!$C12*DASHBOARD!$E12*0.01)+('Lactalis (Gippsland &amp; West Vic)'!$F11*DASHBOARD!$C12*DASHBOARD!$D12*0.01)+('Lactalis (Gippsland &amp; West Vic)'!$G11*DASHBOARD!$C12*DASHBOARD!$E12*0.01)</f>
        <v>66808</v>
      </c>
      <c r="AH30" s="13">
        <f>(UDC!$C13*DASHBOARD!$C12*DASHBOARD!$D12*0.01)+(UDC!$D13*DASHBOARD!$C12*DASHBOARD!$E12*0.01)+(UDC!$E13*DASHBOARD!$F12)+(UDC!$F13*DASHBOARD!$F12)</f>
        <v>59810.400000000001</v>
      </c>
      <c r="AI30" s="13">
        <f>(DASHBOARD!$C13*DASHBOARD!$D13*0.01*UDC!$C28)+(UDC!$D28*0.01*DASHBOARD!$C13*DASHBOARD!$E13)+(DASHBOARD!$F13*UDC!$E28)+(UDC!$F28)</f>
        <v>66110.400000000009</v>
      </c>
    </row>
    <row r="31" spans="3:35">
      <c r="C31" s="11"/>
      <c r="D31" s="39" t="s">
        <v>68</v>
      </c>
      <c r="E31" s="13">
        <f>('Bega (Tas)'!$D12*DASHBOARD!$C13*DASHBOARD!$D13*0.01)+('Bega (Tas)'!$E12*DASHBOARD!$C13*DASHBOARD!$E13*0.01)+('Bega (Tas)'!$F12*DASHBOARD!$C13)-('Bega (Tas)'!$G12)</f>
        <v>68830</v>
      </c>
      <c r="F31" s="13">
        <f>('Coles (Tas)'!$D13*DASHBOARD!$C13*DASHBOARD!$D13*0.01)+('Coles (Tas)'!$E13*DASHBOARD!$C13*DASHBOARD!$E13*0.01)-('Coles (Tas)'!$F13)</f>
        <v>75435</v>
      </c>
      <c r="G31" s="13">
        <f>('Fonterra (Tas)'!$G11*DASHBOARD!$C13*DASHBOARD!$D13*0.01)+('Fonterra (Tas)'!$H11*DASHBOARD!$C13*DASHBOARD!$E13*0.01)+('Fonterra (Tas)'!$I11*DASHBOARD!$C13*DASHBOARD!$D13*0.01)+('Fonterra (Tas)'!$J11*DASHBOARD!$C13*DASHBOARD!$E13*0.01)+('Fonterra (Tas)'!$K11*DASHBOARD!$C13*DASHBOARD!$D13*0.01)+('Fonterra (Tas)'!$L11*DASHBOARD!$C13*DASHBOARD!$E13*0.01)</f>
        <v>57945.599999999999</v>
      </c>
      <c r="H31" s="13">
        <f>(DASHBOARD!$C13*DASHBOARD!$D13*0.01*'Fonterra (Tas)'!$G27)+('Fonterra (Tas)'!$H27*DASHBOARD!$C13*DASHBOARD!$E13*0.01)+('Fonterra (Tas)'!$I27*DASHBOARD!$C13*DASHBOARD!$D13*0.01)+(DASHBOARD!$C13*DASHBOARD!$E13*0.01*'Fonterra (Tas)'!$J27)+('Fonterra (Tas)'!$K27*DASHBOARD!$C13*DASHBOARD!$D13*0.01)+('Fonterra (Tas)'!$L27*DASHBOARD!$C13*DASHBOARD!$E13*0.01)</f>
        <v>58897.599999999999</v>
      </c>
      <c r="I31" s="13">
        <f>('Lactalis (Vic, Tas, &amp; Riverina)'!$C16*DASHBOARD!$C13*DASHBOARD!$D13*0.01)+('Lactalis (Vic, Tas, &amp; Riverina)'!$D16*DASHBOARD!$C13*DASHBOARD!$E13*0.01)+('Lactalis (Vic, Tas, &amp; Riverina)'!$E16*DASHBOARD!$C13*DASHBOARD!$D13*0.01)+('Lactalis (Vic, Tas, &amp; Riverina)'!$F16*DASHBOARD!$C13*DASHBOARD!$E13*0.01)</f>
        <v>72544</v>
      </c>
      <c r="J31" s="13">
        <f>(Mondelez!$D12*DASHBOARD!$F13)+(Mondelez!$E12*DASHBOARD!$F13)</f>
        <v>32148.000000000004</v>
      </c>
      <c r="K31" s="13">
        <f>('Saputo (Tas)'!$C12*DASHBOARD!$C13*DASHBOARD!$D13*0.01)+('Saputo (Tas)'!$D12*DASHBOARD!$C13*DASHBOARD!$E13*0.01)+('Saputo (Tas)'!$E12*DASHBOARD!$C13*DASHBOARD!$D13*0.01)+('Saputo (Tas)'!$F12*DASHBOARD!$C13*DASHBOARD!$E13*0.01)+('Saputo (Tas)'!$G12*DASHBOARD!$C13*DASHBOARD!$D13*0.01)+('Saputo (Tas)'!$H13*DASHBOARD!$C13*DASHBOARD!$E13*0.01)</f>
        <v>61776</v>
      </c>
      <c r="L31" s="13">
        <f>(DASHBOARD!$C13*DASHBOARD!$D13*0.01*'Saputo (Tas)'!$C32)+(DASHBOARD!$C13*DASHBOARD!$E13*0.01*'Saputo (Tas)'!$D32)</f>
        <v>56784</v>
      </c>
      <c r="N31" s="39" t="s">
        <v>68</v>
      </c>
      <c r="O31" s="13">
        <f>(ACM!$D12*DASHBOARD!$D13*DASHBOARD!$C13*0.01)+(ACM!$E12*DASHBOARD!$E13*DASHBOARD!$C13*0.01)+(ACM!$F12*DASHBOARD!$C13)</f>
        <v>57564</v>
      </c>
      <c r="P31" s="13">
        <f>(ADFC!$C12*0.01*DASHBOARD!$C13*DASHBOARD!$D13)+(ADFC!$D12*0.01*DASHBOARD!$C13*DASHBOARD!$E13)+(ADFC!$E12*DASHBOARD!$C13*DASHBOARD!$D13*0.01)+(ADFC!$F12*DASHBOARD!$E13*DASHBOARD!$C13*0.01)</f>
        <v>62656</v>
      </c>
      <c r="Q31" s="13">
        <f>(DASHBOARD!$C13*DASHBOARD!$D13*0.01*'Bega (SE SA &amp; West Vic)'!$D42)+('Bega (SE SA &amp; West Vic)'!$E42*0.01*DASHBOARD!$C13*DASHBOARD!$E13)</f>
        <v>57240</v>
      </c>
      <c r="R31" s="13">
        <f>(DASHBOARD!$C13*DASHBOARD!$D13*0.01*'Bega (SE SA &amp; West Vic)'!$D28)+('Bega (SE SA &amp; West Vic)'!$E28*0.01*DASHBOARD!$C13*DASHBOARD!$E13)</f>
        <v>57033.599999999999</v>
      </c>
      <c r="S31" s="13">
        <f>('Bega (SE SA &amp; West Vic)'!$D12*DASHBOARD!$C13*DASHBOARD!$D13*0.01)+('Bega (SE SA &amp; West Vic)'!$E12*DASHBOARD!$C13*DASHBOARD!$E13*0.01)+('Bega (SE SA &amp; West Vic)'!$F12*DASHBOARD!$C13*DASHBOARD!$D13*0.01)+('Bega (SE SA &amp; West Vic)'!$G12*DASHBOARD!$C13*DASHBOARD!$E13*0.01)-('Bega (SE SA &amp; West Vic)'!$H12)</f>
        <v>56312</v>
      </c>
      <c r="T31" s="13">
        <f>(Bulla!$C11*DASHBOARD!$F13)</f>
        <v>62280.000000000007</v>
      </c>
      <c r="U31" s="13">
        <f>(Bulla!$C25*DASHBOARD!$C13*DASHBOARD!$D13*0.01)+(Bulla!$D25*DASHBOARD!$C13*DASHBOARD!$E13*0.01)</f>
        <v>62278.400000000001</v>
      </c>
      <c r="V31" s="13">
        <f>('Coles (Vic, Riverina, &amp; SE SA)'!$D13*DASHBOARD!$C13*DASHBOARD!$D13*0.01)+('Coles (Vic, Riverina, &amp; SE SA)'!$E13*DASHBOARD!$C13*DASHBOARD!$E13*0.01)-('Coles (Vic, Riverina, &amp; SE SA)'!$F13)</f>
        <v>75435</v>
      </c>
      <c r="W31" s="13">
        <f>('DFMC (Vic)'!$F33*DASHBOARD!$C13*DASHBOARD!$D13*0.01)+('DFMC (Vic)'!$G33*DASHBOARD!$C13*DASHBOARD!$E13*0.01)+('DFMC (Vic)'!$H33*DASHBOARD!$F13)</f>
        <v>55191.200000000004</v>
      </c>
      <c r="X31" s="13">
        <f>('DFMC (Vic)'!$F47*DASHBOARD!$C13*DASHBOARD!$D13*0.01)+('DFMC (Vic)'!$G47*DASHBOARD!$C13*DASHBOARD!$E13*0.01)</f>
        <v>55190.400000000001</v>
      </c>
      <c r="Y31" s="13">
        <f>('DFMC (Vic)'!$F13*DASHBOARD!$C13*DASHBOARD!$D13*0.01)+('DFMC (Vic)'!$G13*DASHBOARD!$C13*DASHBOARD!$E13*0.01)+('DFMC (Vic)'!$H13*DASHBOARD!$F13)</f>
        <v>57672.800000000003</v>
      </c>
      <c r="Z31" s="13">
        <f>(DASHBOARD!$C13*DASHBOARD!$D13*0.01*'Saputo (SW Vic &amp; SA)'!$C12)+(DASHBOARD!$C13*DASHBOARD!$E13*0.01*'Saputo (SW Vic &amp; SA)'!$D12)+('Saputo (SW Vic &amp; SA)'!$E12*DASHBOARD!$C13*DASHBOARD!$D13*0.01)+('Saputo (SW Vic &amp; SA)'!$F12*DASHBOARD!$C13*DASHBOARD!$E13*0.01)+('Saputo (SW Vic &amp; SA)'!$G12*DASHBOARD!$C13*DASHBOARD!$D13*0.01)+('Saputo (SW Vic &amp; SA)'!$H12*DASHBOARD!$C13*DASHBOARD!$E13*0.01)</f>
        <v>62816</v>
      </c>
      <c r="AA31" s="13">
        <f>(DASHBOARD!$C13*DASHBOARD!$D13*0.01*'Saputo (SW Vic &amp; SA)'!$C33)+(DASHBOARD!$C13*DASHBOARD!$E13*0.01*'Saputo (SW Vic &amp; SA)'!$D33)</f>
        <v>57824</v>
      </c>
      <c r="AB31" s="13">
        <f>('Fonterra (SE SA &amp; West Vic)'!$H16*DASHBOARD!$C13*DASHBOARD!$D13*0.01)+('Fonterra (SE SA &amp; West Vic)'!$I16*DASHBOARD!$C13*DASHBOARD!$E13*0.01)+('Fonterra (SE SA &amp; West Vic)'!$J16*DASHBOARD!$C13*DASHBOARD!$D13*0.01)+('Fonterra (SE SA &amp; West Vic)'!$K16*DASHBOARD!$C13*DASHBOARD!$E13*0.01)+('Fonterra (SE SA &amp; West Vic)'!$L16*DASHBOARD!$C13*DASHBOARD!$D13*0.01)+('Fonterra (SE SA &amp; West Vic)'!$M16*DASHBOARD!$C13*DASHBOARD!$E13*0.01)</f>
        <v>68825.600000000006</v>
      </c>
      <c r="AC31" s="13">
        <f>(DASHBOARD!$C13*DASHBOARD!$D13*0.01*'Fonterra (SE SA &amp; West Vic)'!$H32)+('Fonterra (SE SA &amp; West Vic)'!$I32*DASHBOARD!$C13*DASHBOARD!$E13*0.01)+('Fonterra (SE SA &amp; West Vic)'!$J32*DASHBOARD!$C13*DASHBOARD!$D13*0.01)+('Fonterra (SE SA &amp; West Vic)'!$K32*DASHBOARD!$C13*DASHBOARD!$E13*0.01)+('Fonterra (SE SA &amp; West Vic)'!$L32*DASHBOARD!$C13*DASHBOARD!$D13*0.01)+('Fonterra (SE SA &amp; West Vic)'!$M32*DASHBOARD!$C13*DASHBOARD!$E13*0.01)</f>
        <v>69777.600000000006</v>
      </c>
      <c r="AD31" s="13">
        <f>(Frestine!$D12*DASHBOARD!$C13*DASHBOARD!$D13*0.01)+(Frestine!$E12*DASHBOARD!$C13*DASHBOARD!$E13*0.01)</f>
        <v>57616</v>
      </c>
      <c r="AE31" s="13">
        <f>DASHBOARD!$F13*Frestine!$D26</f>
        <v>57600.000000000007</v>
      </c>
      <c r="AF31" s="13">
        <f>('KY Valley (West Vic)'!$D12*DASHBOARD!$C13*DASHBOARD!$D13*0.01)+('KY Valley (West Vic)'!$E12*DASHBOARD!$C13*DASHBOARD!$E13*0.01)</f>
        <v>56088</v>
      </c>
      <c r="AG31" s="13">
        <f>('Lactalis (Gippsland &amp; West Vic)'!$D12*DASHBOARD!$C13*DASHBOARD!$D13*0.01)+('Lactalis (Gippsland &amp; West Vic)'!$E12*DASHBOARD!$C13*DASHBOARD!$E13*0.01)+('Lactalis (Gippsland &amp; West Vic)'!$F12*DASHBOARD!$C13*DASHBOARD!$D13*0.01)+('Lactalis (Gippsland &amp; West Vic)'!$G12*DASHBOARD!$C13*DASHBOARD!$E13*0.01)</f>
        <v>66808</v>
      </c>
      <c r="AH31" s="13">
        <f>(UDC!$C14*DASHBOARD!$C13*DASHBOARD!$D13*0.01)+(UDC!$D14*DASHBOARD!$C13*DASHBOARD!$E13*0.01)+(UDC!$E14*DASHBOARD!$F13)+(UDC!$F14*DASHBOARD!$F13)</f>
        <v>59810.400000000001</v>
      </c>
      <c r="AI31" s="13">
        <f>(DASHBOARD!$C14*DASHBOARD!$D14*0.01*UDC!$C29)+(UDC!$D29*0.01*DASHBOARD!$C14*DASHBOARD!$E14)+(DASHBOARD!$F14*UDC!$E29)+(UDC!$F29)</f>
        <v>66110.400000000009</v>
      </c>
    </row>
    <row r="32" spans="3:35">
      <c r="C32" s="11"/>
      <c r="D32" s="39" t="s">
        <v>69</v>
      </c>
      <c r="E32" s="13">
        <f>('Bega (Tas)'!$D13*DASHBOARD!$C14*DASHBOARD!$D14*0.01)+('Bega (Tas)'!$E13*DASHBOARD!$C14*DASHBOARD!$E14*0.01)+('Bega (Tas)'!$F13*DASHBOARD!$C14)-('Bega (Tas)'!$G13)</f>
        <v>79224</v>
      </c>
      <c r="F32" s="13">
        <f>('Coles (Tas)'!$D14*DASHBOARD!$C14*DASHBOARD!$D14*0.01)+('Coles (Tas)'!$E14*DASHBOARD!$C14*DASHBOARD!$E14*0.01)-('Coles (Tas)'!$F14)</f>
        <v>75510</v>
      </c>
      <c r="G32" s="13">
        <f>('Fonterra (Tas)'!$G12*DASHBOARD!$C14*DASHBOARD!$D14*0.01)+('Fonterra (Tas)'!$H12*DASHBOARD!$C14*DASHBOARD!$E14*0.01)+('Fonterra (Tas)'!$I12*DASHBOARD!$C14*DASHBOARD!$D14*0.01)+('Fonterra (Tas)'!$J12*DASHBOARD!$C14*DASHBOARD!$E14*0.01)+('Fonterra (Tas)'!$K12*DASHBOARD!$C14*DASHBOARD!$D14*0.01)+('Fonterra (Tas)'!$L12*DASHBOARD!$C14*DASHBOARD!$E14*0.01)</f>
        <v>56849.599999999999</v>
      </c>
      <c r="H32" s="13">
        <f>(DASHBOARD!$C14*DASHBOARD!$D14*0.01*'Fonterra (Tas)'!$G28)+('Fonterra (Tas)'!$H28*DASHBOARD!$C14*DASHBOARD!$E14*0.01)+('Fonterra (Tas)'!$I28*DASHBOARD!$C14*DASHBOARD!$D14*0.01)+(DASHBOARD!$C14*DASHBOARD!$E14*0.01*'Fonterra (Tas)'!$J28)+('Fonterra (Tas)'!$K28*DASHBOARD!$C14*DASHBOARD!$D14*0.01)+('Fonterra (Tas)'!$L28*DASHBOARD!$C14*DASHBOARD!$E14*0.01)</f>
        <v>59145.599999999999</v>
      </c>
      <c r="I32" s="13">
        <f>('Lactalis (Vic, Tas, &amp; Riverina)'!$C17*DASHBOARD!$C14*DASHBOARD!$D14*0.01)+('Lactalis (Vic, Tas, &amp; Riverina)'!$D17*DASHBOARD!$C14*DASHBOARD!$E14*0.01)+('Lactalis (Vic, Tas, &amp; Riverina)'!$E17*DASHBOARD!$C14*DASHBOARD!$D14*0.01)+('Lactalis (Vic, Tas, &amp; Riverina)'!$F17*DASHBOARD!$C14*DASHBOARD!$E14*0.01)</f>
        <v>72544</v>
      </c>
      <c r="J32" s="13">
        <f>(Mondelez!$D13*DASHBOARD!$F14)+(Mondelez!$E13*DASHBOARD!$F14)</f>
        <v>33062.400000000001</v>
      </c>
      <c r="K32" s="13">
        <f>('Saputo (Tas)'!$C13*DASHBOARD!$C14*DASHBOARD!$D14*0.01)+('Saputo (Tas)'!$D13*DASHBOARD!$C14*DASHBOARD!$E14*0.01)+('Saputo (Tas)'!$E13*DASHBOARD!$C14*DASHBOARD!$D14*0.01)+('Saputo (Tas)'!$F13*DASHBOARD!$C14*DASHBOARD!$E14*0.01)+('Saputo (Tas)'!$G13*DASHBOARD!$C14*DASHBOARD!$D14*0.01)+('Saputo (Tas)'!$H14*DASHBOARD!$C14*DASHBOARD!$E14*0.01)</f>
        <v>61776</v>
      </c>
      <c r="L32" s="13">
        <f>(DASHBOARD!$C14*DASHBOARD!$D14*0.01*'Saputo (Tas)'!$C33)+(DASHBOARD!$C14*DASHBOARD!$E14*0.01*'Saputo (Tas)'!$D33)</f>
        <v>56784</v>
      </c>
      <c r="N32" s="39" t="s">
        <v>69</v>
      </c>
      <c r="O32" s="13">
        <f>(ACM!$D13*DASHBOARD!$D14*DASHBOARD!$C14*0.01)+(ACM!$E13*DASHBOARD!$E14*DASHBOARD!$C14*0.01)+(ACM!$F13*DASHBOARD!$C14)</f>
        <v>57564</v>
      </c>
      <c r="P32" s="13">
        <f>(ADFC!$C13*0.01*DASHBOARD!$C14*DASHBOARD!$D14)+(ADFC!$D13*0.01*DASHBOARD!$C14*DASHBOARD!$E14)+(ADFC!$E13*DASHBOARD!$C14*DASHBOARD!$D14*0.01)+(ADFC!$F13*DASHBOARD!$E14*DASHBOARD!$C14*0.01)</f>
        <v>62656</v>
      </c>
      <c r="Q32" s="13">
        <f>(DASHBOARD!$C14*DASHBOARD!$D14*0.01*'Bega (SE SA &amp; West Vic)'!$D43)+('Bega (SE SA &amp; West Vic)'!$E43*0.01*DASHBOARD!$C14*DASHBOARD!$E14)</f>
        <v>57240</v>
      </c>
      <c r="R32" s="13">
        <f>(DASHBOARD!$C14*DASHBOARD!$D14*0.01*'Bega (SE SA &amp; West Vic)'!$D29)+('Bega (SE SA &amp; West Vic)'!$E29*0.01*DASHBOARD!$C14*DASHBOARD!$E14)</f>
        <v>57033.599999999999</v>
      </c>
      <c r="S32" s="13">
        <f>('Bega (SE SA &amp; West Vic)'!$D13*DASHBOARD!$C14*DASHBOARD!$D14*0.01)+('Bega (SE SA &amp; West Vic)'!$E13*DASHBOARD!$C14*DASHBOARD!$E14*0.01)+('Bega (SE SA &amp; West Vic)'!$F13*DASHBOARD!$C14*DASHBOARD!$D14*0.01)+('Bega (SE SA &amp; West Vic)'!$G13*DASHBOARD!$C14*DASHBOARD!$E14*0.01)-('Bega (SE SA &amp; West Vic)'!$H13)</f>
        <v>56320</v>
      </c>
      <c r="T32" s="13">
        <f>(Bulla!$C12*DASHBOARD!$F14)</f>
        <v>62280.000000000007</v>
      </c>
      <c r="U32" s="13">
        <f>(Bulla!$C26*DASHBOARD!$C14*DASHBOARD!$D14*0.01)+(Bulla!$D26*DASHBOARD!$C14*DASHBOARD!$E14*0.01)</f>
        <v>62278.400000000001</v>
      </c>
      <c r="V32" s="13">
        <f>('Coles (Vic, Riverina, &amp; SE SA)'!$D14*DASHBOARD!$C14*DASHBOARD!$D14*0.01)+('Coles (Vic, Riverina, &amp; SE SA)'!$E14*DASHBOARD!$C14*DASHBOARD!$E14*0.01)-('Coles (Vic, Riverina, &amp; SE SA)'!$F14)</f>
        <v>75510</v>
      </c>
      <c r="W32" s="13">
        <f>('DFMC (Vic)'!$F34*DASHBOARD!$C14*DASHBOARD!$D14*0.01)+('DFMC (Vic)'!$G34*DASHBOARD!$C14*DASHBOARD!$E14*0.01)+('DFMC (Vic)'!$H34*DASHBOARD!$F14)</f>
        <v>55191.200000000004</v>
      </c>
      <c r="X32" s="13">
        <f>('DFMC (Vic)'!$F48*DASHBOARD!$C14*DASHBOARD!$D14*0.01)+('DFMC (Vic)'!$G48*DASHBOARD!$C14*DASHBOARD!$E14*0.01)</f>
        <v>55190.400000000001</v>
      </c>
      <c r="Y32" s="13">
        <f>('DFMC (Vic)'!$F14*DASHBOARD!$C14*DASHBOARD!$D14*0.01)+('DFMC (Vic)'!$G14*DASHBOARD!$C14*DASHBOARD!$E14*0.01)+('DFMC (Vic)'!$H14*DASHBOARD!$F14)</f>
        <v>59605.600000000006</v>
      </c>
      <c r="Z32" s="13">
        <f>(DASHBOARD!$C14*DASHBOARD!$D14*0.01*'Saputo (SW Vic &amp; SA)'!$C13)+(DASHBOARD!$C14*DASHBOARD!$E14*0.01*'Saputo (SW Vic &amp; SA)'!$D13)+('Saputo (SW Vic &amp; SA)'!$E13*DASHBOARD!$C14*DASHBOARD!$D14*0.01)+('Saputo (SW Vic &amp; SA)'!$F13*DASHBOARD!$C14*DASHBOARD!$E14*0.01)+('Saputo (SW Vic &amp; SA)'!$G13*DASHBOARD!$C14*DASHBOARD!$D14*0.01)+('Saputo (SW Vic &amp; SA)'!$H13*DASHBOARD!$C14*DASHBOARD!$E14*0.01)</f>
        <v>62816</v>
      </c>
      <c r="AA32" s="13">
        <f>(DASHBOARD!$C14*DASHBOARD!$D14*0.01*'Saputo (SW Vic &amp; SA)'!$C34)+(DASHBOARD!$C14*DASHBOARD!$E14*0.01*'Saputo (SW Vic &amp; SA)'!$D34)</f>
        <v>57824</v>
      </c>
      <c r="AB32" s="13">
        <f>('Fonterra (SE SA &amp; West Vic)'!$H17*DASHBOARD!$C14*DASHBOARD!$D14*0.01)+('Fonterra (SE SA &amp; West Vic)'!$I17*DASHBOARD!$C14*DASHBOARD!$E14*0.01)+('Fonterra (SE SA &amp; West Vic)'!$J17*DASHBOARD!$C14*DASHBOARD!$D14*0.01)+('Fonterra (SE SA &amp; West Vic)'!$K17*DASHBOARD!$C14*DASHBOARD!$E14*0.01)+('Fonterra (SE SA &amp; West Vic)'!$L17*DASHBOARD!$C14*DASHBOARD!$D14*0.01)+('Fonterra (SE SA &amp; West Vic)'!$M17*DASHBOARD!$C14*DASHBOARD!$E14*0.01)</f>
        <v>68825.600000000006</v>
      </c>
      <c r="AC32" s="13">
        <f>(DASHBOARD!$C14*DASHBOARD!$D14*0.01*'Fonterra (SE SA &amp; West Vic)'!$H33)+('Fonterra (SE SA &amp; West Vic)'!$I33*DASHBOARD!$C14*DASHBOARD!$E14*0.01)+('Fonterra (SE SA &amp; West Vic)'!$J33*DASHBOARD!$C14*DASHBOARD!$D14*0.01)+('Fonterra (SE SA &amp; West Vic)'!$K33*DASHBOARD!$C14*DASHBOARD!$E14*0.01)+('Fonterra (SE SA &amp; West Vic)'!$L33*DASHBOARD!$C14*DASHBOARD!$D14*0.01)+('Fonterra (SE SA &amp; West Vic)'!$M33*DASHBOARD!$C14*DASHBOARD!$E14*0.01)</f>
        <v>71121.600000000006</v>
      </c>
      <c r="AD32" s="13">
        <f>(Frestine!$D13*DASHBOARD!$C14*DASHBOARD!$D14*0.01)+(Frestine!$E13*DASHBOARD!$C14*DASHBOARD!$E14*0.01)</f>
        <v>57616</v>
      </c>
      <c r="AE32" s="13">
        <f>DASHBOARD!$F14*Frestine!$D27</f>
        <v>57600.000000000007</v>
      </c>
      <c r="AF32" s="13">
        <f>('KY Valley (West Vic)'!$D13*DASHBOARD!$C14*DASHBOARD!$D14*0.01)+('KY Valley (West Vic)'!$E13*DASHBOARD!$C14*DASHBOARD!$E14*0.01)</f>
        <v>56088</v>
      </c>
      <c r="AG32" s="13">
        <f>('Lactalis (Gippsland &amp; West Vic)'!$D13*DASHBOARD!$C14*DASHBOARD!$D14*0.01)+('Lactalis (Gippsland &amp; West Vic)'!$E13*DASHBOARD!$C14*DASHBOARD!$E14*0.01)+('Lactalis (Gippsland &amp; West Vic)'!$F13*DASHBOARD!$C14*DASHBOARD!$D14*0.01)+('Lactalis (Gippsland &amp; West Vic)'!$G13*DASHBOARD!$C14*DASHBOARD!$E14*0.01)</f>
        <v>66808</v>
      </c>
      <c r="AH32" s="13">
        <f>(UDC!$C15*DASHBOARD!$C14*DASHBOARD!$D14*0.01)+(UDC!$D15*DASHBOARD!$C14*DASHBOARD!$E14*0.01)+(UDC!$E15*DASHBOARD!$F14)+(UDC!$F15*DASHBOARD!$F14)</f>
        <v>59810.400000000001</v>
      </c>
      <c r="AI32" s="13">
        <f>(DASHBOARD!$C15*DASHBOARD!$D15*0.01*UDC!$C30)+(UDC!$D30*0.01*DASHBOARD!$C15*DASHBOARD!$E15)+(DASHBOARD!$F15*UDC!$E30)+(UDC!$F30)</f>
        <v>66110.400000000009</v>
      </c>
    </row>
    <row r="33" spans="3:35">
      <c r="C33" s="11"/>
      <c r="D33" s="39" t="s">
        <v>24</v>
      </c>
      <c r="E33" s="13">
        <f>('Bega (Tas)'!$D14*DASHBOARD!$C15*DASHBOARD!$D15*0.01)+('Bega (Tas)'!$E14*DASHBOARD!$C15*DASHBOARD!$E15*0.01)+('Bega (Tas)'!$F14*DASHBOARD!$C15)-('Bega (Tas)'!$G14)</f>
        <v>79214</v>
      </c>
      <c r="F33" s="13">
        <f>('Coles (Tas)'!$D15*DASHBOARD!$C15*DASHBOARD!$D15*0.01)+('Coles (Tas)'!$E15*DASHBOARD!$C15*DASHBOARD!$E15*0.01)-('Coles (Tas)'!$F15)</f>
        <v>75435</v>
      </c>
      <c r="G33" s="13">
        <f>('Fonterra (Tas)'!$G13*DASHBOARD!$C15*DASHBOARD!$D15*0.01)+('Fonterra (Tas)'!$H13*DASHBOARD!$C15*DASHBOARD!$E15*0.01)+('Fonterra (Tas)'!$I13*DASHBOARD!$C15*DASHBOARD!$D15*0.01)+('Fonterra (Tas)'!$J13*DASHBOARD!$C15*DASHBOARD!$E15*0.01)+('Fonterra (Tas)'!$K13*DASHBOARD!$C15*DASHBOARD!$D15*0.01)+('Fonterra (Tas)'!$L13*DASHBOARD!$C15*DASHBOARD!$E15*0.01)</f>
        <v>56849.599999999999</v>
      </c>
      <c r="H33" s="13">
        <f>(DASHBOARD!$C15*DASHBOARD!$D15*0.01*'Fonterra (Tas)'!$G29)+('Fonterra (Tas)'!$H29*DASHBOARD!$C15*DASHBOARD!$E15*0.01)+('Fonterra (Tas)'!$I29*DASHBOARD!$C15*DASHBOARD!$D15*0.01)+(DASHBOARD!$C15*DASHBOARD!$E15*0.01*'Fonterra (Tas)'!$J29)+('Fonterra (Tas)'!$K29*DASHBOARD!$C15*DASHBOARD!$D15*0.01)+('Fonterra (Tas)'!$L29*DASHBOARD!$C15*DASHBOARD!$E15*0.01)</f>
        <v>59993.599999999999</v>
      </c>
      <c r="I33" s="13">
        <f>('Lactalis (Vic, Tas, &amp; Riverina)'!$C18*DASHBOARD!$C15*DASHBOARD!$D15*0.01)+('Lactalis (Vic, Tas, &amp; Riverina)'!$D18*DASHBOARD!$C15*DASHBOARD!$E15*0.01)+('Lactalis (Vic, Tas, &amp; Riverina)'!$E18*DASHBOARD!$C15*DASHBOARD!$D15*0.01)+('Lactalis (Vic, Tas, &amp; Riverina)'!$F18*DASHBOARD!$C15*DASHBOARD!$E15*0.01)</f>
        <v>72544</v>
      </c>
      <c r="J33" s="13">
        <f>(Mondelez!$D14*DASHBOARD!$F15)+(Mondelez!$E14*DASHBOARD!$F15)</f>
        <v>37641.600000000006</v>
      </c>
      <c r="K33" s="13">
        <f>('Saputo (Tas)'!$C14*DASHBOARD!$C15*DASHBOARD!$D15*0.01)+('Saputo (Tas)'!$D14*DASHBOARD!$C15*DASHBOARD!$E15*0.01)+('Saputo (Tas)'!$E14*DASHBOARD!$C15*DASHBOARD!$D15*0.01)+('Saputo (Tas)'!$F14*DASHBOARD!$C15*DASHBOARD!$E15*0.01)+('Saputo (Tas)'!$G14*DASHBOARD!$C15*DASHBOARD!$D15*0.01)+('Saputo (Tas)'!$H15*DASHBOARD!$C15*DASHBOARD!$E15*0.01)</f>
        <v>61776</v>
      </c>
      <c r="L33" s="13">
        <f>(DASHBOARD!$C15*DASHBOARD!$D15*0.01*'Saputo (Tas)'!$C34)+(DASHBOARD!$C15*DASHBOARD!$E15*0.01*'Saputo (Tas)'!$D34)</f>
        <v>56784</v>
      </c>
      <c r="N33" s="39" t="s">
        <v>24</v>
      </c>
      <c r="O33" s="13">
        <f>(ACM!$D14*DASHBOARD!$D15*DASHBOARD!$C15*0.01)+(ACM!$E14*DASHBOARD!$E15*DASHBOARD!$C15*0.01)+(ACM!$F14*DASHBOARD!$C15)</f>
        <v>57564</v>
      </c>
      <c r="P33" s="13">
        <f>(ADFC!$C14*0.01*DASHBOARD!$C15*DASHBOARD!$D15)+(ADFC!$D14*0.01*DASHBOARD!$C15*DASHBOARD!$E15)+(ADFC!$E14*DASHBOARD!$C15*DASHBOARD!$D15*0.01)+(ADFC!$F14*DASHBOARD!$E15*DASHBOARD!$C15*0.01)</f>
        <v>62656</v>
      </c>
      <c r="Q33" s="13">
        <f>(DASHBOARD!$C15*DASHBOARD!$D15*0.01*'Bega (SE SA &amp; West Vic)'!$D44)+('Bega (SE SA &amp; West Vic)'!$E44*0.01*DASHBOARD!$C15*DASHBOARD!$E15)</f>
        <v>57240</v>
      </c>
      <c r="R33" s="13">
        <f>(DASHBOARD!$C15*DASHBOARD!$D15*0.01*'Bega (SE SA &amp; West Vic)'!$D30)+('Bega (SE SA &amp; West Vic)'!$E30*0.01*DASHBOARD!$C15*DASHBOARD!$E15)</f>
        <v>57033.599999999999</v>
      </c>
      <c r="S33" s="13">
        <f>('Bega (SE SA &amp; West Vic)'!$D14*DASHBOARD!$C15*DASHBOARD!$D15*0.01)+('Bega (SE SA &amp; West Vic)'!$E14*DASHBOARD!$C15*DASHBOARD!$E15*0.01)+('Bega (SE SA &amp; West Vic)'!$F14*DASHBOARD!$C15*DASHBOARD!$D15*0.01)+('Bega (SE SA &amp; West Vic)'!$G14*DASHBOARD!$C15*DASHBOARD!$E15*0.01)-('Bega (SE SA &amp; West Vic)'!$H14)</f>
        <v>56312</v>
      </c>
      <c r="T33" s="13">
        <f>(Bulla!$C13*DASHBOARD!$F15)</f>
        <v>62280.000000000007</v>
      </c>
      <c r="U33" s="13">
        <f>(Bulla!$C27*DASHBOARD!$C15*DASHBOARD!$D15*0.01)+(Bulla!$D27*DASHBOARD!$C15*DASHBOARD!$E15*0.01)</f>
        <v>62278.400000000001</v>
      </c>
      <c r="V33" s="13">
        <f>('Coles (Vic, Riverina, &amp; SE SA)'!$D15*DASHBOARD!$C15*DASHBOARD!$D15*0.01)+('Coles (Vic, Riverina, &amp; SE SA)'!$E15*DASHBOARD!$C15*DASHBOARD!$E15*0.01)-('Coles (Vic, Riverina, &amp; SE SA)'!$F15)</f>
        <v>75435</v>
      </c>
      <c r="W33" s="13">
        <f>('DFMC (Vic)'!$F35*DASHBOARD!$C15*DASHBOARD!$D15*0.01)+('DFMC (Vic)'!$G35*DASHBOARD!$C15*DASHBOARD!$E15*0.01)+('DFMC (Vic)'!$H35*DASHBOARD!$F15)</f>
        <v>55191.200000000004</v>
      </c>
      <c r="X33" s="13">
        <f>('DFMC (Vic)'!$F49*DASHBOARD!$C15*DASHBOARD!$D15*0.01)+('DFMC (Vic)'!$G49*DASHBOARD!$C15*DASHBOARD!$E15*0.01)</f>
        <v>55190.400000000001</v>
      </c>
      <c r="Y33" s="13">
        <f>('DFMC (Vic)'!$F15*DASHBOARD!$C15*DASHBOARD!$D15*0.01)+('DFMC (Vic)'!$G15*DASHBOARD!$C15*DASHBOARD!$E15*0.01)+('DFMC (Vic)'!$H15*DASHBOARD!$F15)</f>
        <v>59957.600000000006</v>
      </c>
      <c r="Z33" s="13">
        <f>(DASHBOARD!$C15*DASHBOARD!$D15*0.01*'Saputo (SW Vic &amp; SA)'!$C14)+(DASHBOARD!$C15*DASHBOARD!$E15*0.01*'Saputo (SW Vic &amp; SA)'!$D14)+('Saputo (SW Vic &amp; SA)'!$E14*DASHBOARD!$C15*DASHBOARD!$D15*0.01)+('Saputo (SW Vic &amp; SA)'!$F14*DASHBOARD!$C15*DASHBOARD!$E15*0.01)+('Saputo (SW Vic &amp; SA)'!$G14*DASHBOARD!$C15*DASHBOARD!$D15*0.01)+('Saputo (SW Vic &amp; SA)'!$H14*DASHBOARD!$C15*DASHBOARD!$E15*0.01)</f>
        <v>62816</v>
      </c>
      <c r="AA33" s="13">
        <f>(DASHBOARD!$C15*DASHBOARD!$D15*0.01*'Saputo (SW Vic &amp; SA)'!$C35)+(DASHBOARD!$C15*DASHBOARD!$E15*0.01*'Saputo (SW Vic &amp; SA)'!$D35)</f>
        <v>57824</v>
      </c>
      <c r="AB33" s="13">
        <f>('Fonterra (SE SA &amp; West Vic)'!$H18*DASHBOARD!$C15*DASHBOARD!$D15*0.01)+('Fonterra (SE SA &amp; West Vic)'!$I18*DASHBOARD!$C15*DASHBOARD!$E15*0.01)+('Fonterra (SE SA &amp; West Vic)'!$J18*DASHBOARD!$C15*DASHBOARD!$D15*0.01)+('Fonterra (SE SA &amp; West Vic)'!$K18*DASHBOARD!$C15*DASHBOARD!$E15*0.01)+('Fonterra (SE SA &amp; West Vic)'!$L18*DASHBOARD!$C15*DASHBOARD!$D15*0.01)+('Fonterra (SE SA &amp; West Vic)'!$M18*DASHBOARD!$C15*DASHBOARD!$E15*0.01)</f>
        <v>68825.600000000006</v>
      </c>
      <c r="AC33" s="13">
        <f>(DASHBOARD!$C15*DASHBOARD!$D15*0.01*'Fonterra (SE SA &amp; West Vic)'!$H34)+('Fonterra (SE SA &amp; West Vic)'!$I34*DASHBOARD!$C15*DASHBOARD!$E15*0.01)+('Fonterra (SE SA &amp; West Vic)'!$J34*DASHBOARD!$C15*DASHBOARD!$D15*0.01)+('Fonterra (SE SA &amp; West Vic)'!$K34*DASHBOARD!$C15*DASHBOARD!$E15*0.01)+('Fonterra (SE SA &amp; West Vic)'!$L34*DASHBOARD!$C15*DASHBOARD!$D15*0.01)+('Fonterra (SE SA &amp; West Vic)'!$M34*DASHBOARD!$C15*DASHBOARD!$E15*0.01)</f>
        <v>71969.600000000006</v>
      </c>
      <c r="AD33" s="13">
        <f>(Frestine!$D14*DASHBOARD!$C15*DASHBOARD!$D15*0.01)+(Frestine!$E14*DASHBOARD!$C15*DASHBOARD!$E15*0.01)</f>
        <v>57616</v>
      </c>
      <c r="AE33" s="13">
        <f>DASHBOARD!$F15*Frestine!$D28</f>
        <v>57600.000000000007</v>
      </c>
      <c r="AF33" s="13">
        <f>('KY Valley (West Vic)'!$D14*DASHBOARD!$C15*DASHBOARD!$D15*0.01)+('KY Valley (West Vic)'!$E14*DASHBOARD!$C15*DASHBOARD!$E15*0.01)</f>
        <v>56088</v>
      </c>
      <c r="AG33" s="13">
        <f>('Lactalis (Gippsland &amp; West Vic)'!$D14*DASHBOARD!$C15*DASHBOARD!$D15*0.01)+('Lactalis (Gippsland &amp; West Vic)'!$E14*DASHBOARD!$C15*DASHBOARD!$E15*0.01)+('Lactalis (Gippsland &amp; West Vic)'!$F14*DASHBOARD!$C15*DASHBOARD!$D15*0.01)+('Lactalis (Gippsland &amp; West Vic)'!$G14*DASHBOARD!$C15*DASHBOARD!$E15*0.01)</f>
        <v>66808</v>
      </c>
      <c r="AH33" s="13">
        <f>(UDC!$C16*DASHBOARD!$C15*DASHBOARD!$D15*0.01)+(UDC!$D16*DASHBOARD!$C15*DASHBOARD!$E15*0.01)+(UDC!$E16*DASHBOARD!$F15)+(UDC!$F16*DASHBOARD!$F15)</f>
        <v>59810.400000000001</v>
      </c>
      <c r="AI33" s="13">
        <f>(DASHBOARD!$C16*DASHBOARD!$D16*0.01*UDC!$C31)+(UDC!$D31*0.01*DASHBOARD!$C16*DASHBOARD!$E16)+(DASHBOARD!$F16*UDC!$E31)+(UDC!$F31)</f>
        <v>66110.400000000009</v>
      </c>
    </row>
    <row r="34" spans="3:35">
      <c r="C34" s="11"/>
      <c r="D34" s="39" t="s">
        <v>70</v>
      </c>
      <c r="E34" s="13">
        <f>('Bega (Tas)'!$D15*DASHBOARD!$C16*DASHBOARD!$D16*0.01)+('Bega (Tas)'!$E15*DASHBOARD!$C16*DASHBOARD!$E16*0.01)+('Bega (Tas)'!$F15*DASHBOARD!$C16)-('Bega (Tas)'!$G15)</f>
        <v>81150</v>
      </c>
      <c r="F34" s="13">
        <f>('Coles (Tas)'!$D16*DASHBOARD!$C16*DASHBOARD!$D16*0.01)+('Coles (Tas)'!$E16*DASHBOARD!$C16*DASHBOARD!$E16*0.01)-('Coles (Tas)'!$F16)</f>
        <v>75435</v>
      </c>
      <c r="G34" s="13">
        <f>('Fonterra (Tas)'!$G14*DASHBOARD!$C16*DASHBOARD!$D16*0.01)+('Fonterra (Tas)'!$H14*DASHBOARD!$C16*DASHBOARD!$E16*0.01)+('Fonterra (Tas)'!$I14*DASHBOARD!$C16*DASHBOARD!$D16*0.01)+('Fonterra (Tas)'!$J14*DASHBOARD!$C16*DASHBOARD!$E16*0.01)+('Fonterra (Tas)'!$K14*DASHBOARD!$C16*DASHBOARD!$D16*0.01)+('Fonterra (Tas)'!$L14*DASHBOARD!$C16*DASHBOARD!$E16*0.01)</f>
        <v>56849.599999999999</v>
      </c>
      <c r="H34" s="13">
        <f>(DASHBOARD!$C16*DASHBOARD!$D16*0.01*'Fonterra (Tas)'!$G30)+('Fonterra (Tas)'!$H30*DASHBOARD!$C16*DASHBOARD!$E16*0.01)+('Fonterra (Tas)'!$I30*DASHBOARD!$C16*DASHBOARD!$D16*0.01)+(DASHBOARD!$C16*DASHBOARD!$E16*0.01*'Fonterra (Tas)'!$J30)+('Fonterra (Tas)'!$K30*DASHBOARD!$C16*DASHBOARD!$D16*0.01)+('Fonterra (Tas)'!$L30*DASHBOARD!$C16*DASHBOARD!$E16*0.01)</f>
        <v>61369.599999999999</v>
      </c>
      <c r="I34" s="13">
        <f>('Lactalis (Vic, Tas, &amp; Riverina)'!$C19*DASHBOARD!$C16*DASHBOARD!$D16*0.01)+('Lactalis (Vic, Tas, &amp; Riverina)'!$D19*DASHBOARD!$C16*DASHBOARD!$E16*0.01)+('Lactalis (Vic, Tas, &amp; Riverina)'!$E19*DASHBOARD!$C16*DASHBOARD!$D16*0.01)+('Lactalis (Vic, Tas, &amp; Riverina)'!$F19*DASHBOARD!$C16*DASHBOARD!$E16*0.01)</f>
        <v>72544</v>
      </c>
      <c r="J34" s="13">
        <f>(Mondelez!$D15*DASHBOARD!$F16)+(Mondelez!$E15*DASHBOARD!$F16)</f>
        <v>40694.400000000009</v>
      </c>
      <c r="K34" s="13">
        <f>('Saputo (Tas)'!$C15*DASHBOARD!$C16*DASHBOARD!$D16*0.01)+('Saputo (Tas)'!$D15*DASHBOARD!$C16*DASHBOARD!$E16*0.01)+('Saputo (Tas)'!$E15*DASHBOARD!$C16*DASHBOARD!$D16*0.01)+('Saputo (Tas)'!$F15*DASHBOARD!$C16*DASHBOARD!$E16*0.01)+('Saputo (Tas)'!$G15*DASHBOARD!$C16*DASHBOARD!$D16*0.01)+('Saputo (Tas)'!$H16*DASHBOARD!$C16*DASHBOARD!$E16*0.01)</f>
        <v>61392</v>
      </c>
      <c r="L34" s="13">
        <f>(DASHBOARD!$C16*DASHBOARD!$D16*0.01*'Saputo (Tas)'!$C35)+(DASHBOARD!$C16*DASHBOARD!$E16*0.01*'Saputo (Tas)'!$D35)</f>
        <v>56784</v>
      </c>
      <c r="N34" s="39" t="s">
        <v>70</v>
      </c>
      <c r="O34" s="13">
        <f>(ACM!$D15*DASHBOARD!$D16*DASHBOARD!$C16*0.01)+(ACM!$E15*DASHBOARD!$E16*DASHBOARD!$C16*0.01)+(ACM!$F15*DASHBOARD!$C16)</f>
        <v>57564</v>
      </c>
      <c r="P34" s="13">
        <f>(ADFC!$C15*0.01*DASHBOARD!$C16*DASHBOARD!$D16)+(ADFC!$D15*0.01*DASHBOARD!$C16*DASHBOARD!$E16)+(ADFC!$E15*DASHBOARD!$C16*DASHBOARD!$D16*0.01)+(ADFC!$F15*DASHBOARD!$E16*DASHBOARD!$C16*0.01)</f>
        <v>62656</v>
      </c>
      <c r="Q34" s="13">
        <f>(DASHBOARD!$C16*DASHBOARD!$D16*0.01*'Bega (SE SA &amp; West Vic)'!$D45)+('Bega (SE SA &amp; West Vic)'!$E45*0.01*DASHBOARD!$C16*DASHBOARD!$E16)</f>
        <v>57240</v>
      </c>
      <c r="R34" s="13">
        <f>(DASHBOARD!$C16*DASHBOARD!$D16*0.01*'Bega (SE SA &amp; West Vic)'!$D31)+('Bega (SE SA &amp; West Vic)'!$E31*0.01*DASHBOARD!$C16*DASHBOARD!$E16)</f>
        <v>57033.599999999999</v>
      </c>
      <c r="S34" s="13">
        <f>('Bega (SE SA &amp; West Vic)'!$D15*DASHBOARD!$C16*DASHBOARD!$D16*0.01)+('Bega (SE SA &amp; West Vic)'!$E15*DASHBOARD!$C16*DASHBOARD!$E16*0.01)+('Bega (SE SA &amp; West Vic)'!$F15*DASHBOARD!$C16*DASHBOARD!$D16*0.01)+('Bega (SE SA &amp; West Vic)'!$G15*DASHBOARD!$C16*DASHBOARD!$E16*0.01)-('Bega (SE SA &amp; West Vic)'!$H15)</f>
        <v>56312</v>
      </c>
      <c r="T34" s="13">
        <f>(Bulla!$C14*DASHBOARD!$F16)</f>
        <v>62280.000000000007</v>
      </c>
      <c r="U34" s="13">
        <f>(Bulla!$C28*DASHBOARD!$C16*DASHBOARD!$D16*0.01)+(Bulla!$D28*DASHBOARD!$C16*DASHBOARD!$E16*0.01)</f>
        <v>62278.400000000001</v>
      </c>
      <c r="V34" s="13">
        <f>('Coles (Vic, Riverina, &amp; SE SA)'!$D16*DASHBOARD!$C16*DASHBOARD!$D16*0.01)+('Coles (Vic, Riverina, &amp; SE SA)'!$E16*DASHBOARD!$C16*DASHBOARD!$E16*0.01)-('Coles (Vic, Riverina, &amp; SE SA)'!$F16)</f>
        <v>75435</v>
      </c>
      <c r="W34" s="13">
        <f>('DFMC (Vic)'!$F36*DASHBOARD!$C16*DASHBOARD!$D16*0.01)+('DFMC (Vic)'!$G36*DASHBOARD!$C16*DASHBOARD!$E16*0.01)+('DFMC (Vic)'!$H36*DASHBOARD!$F16)</f>
        <v>55191.200000000004</v>
      </c>
      <c r="X34" s="13">
        <f>('DFMC (Vic)'!$F50*DASHBOARD!$C16*DASHBOARD!$D16*0.01)+('DFMC (Vic)'!$G50*DASHBOARD!$C16*DASHBOARD!$E16*0.01)</f>
        <v>55190.400000000001</v>
      </c>
      <c r="Y34" s="13">
        <f>('DFMC (Vic)'!$F16*DASHBOARD!$C16*DASHBOARD!$D16*0.01)+('DFMC (Vic)'!$G16*DASHBOARD!$C16*DASHBOARD!$E16*0.01)+('DFMC (Vic)'!$H16*DASHBOARD!$F16)</f>
        <v>60657.600000000006</v>
      </c>
      <c r="Z34" s="13">
        <f>(DASHBOARD!$C16*DASHBOARD!$D16*0.01*'Saputo (SW Vic &amp; SA)'!$C15)+(DASHBOARD!$C16*DASHBOARD!$E16*0.01*'Saputo (SW Vic &amp; SA)'!$D15)+('Saputo (SW Vic &amp; SA)'!$E15*DASHBOARD!$C16*DASHBOARD!$D16*0.01)+('Saputo (SW Vic &amp; SA)'!$F15*DASHBOARD!$C16*DASHBOARD!$E16*0.01)+('Saputo (SW Vic &amp; SA)'!$G15*DASHBOARD!$C16*DASHBOARD!$D16*0.01)+('Saputo (SW Vic &amp; SA)'!$H15*DASHBOARD!$C16*DASHBOARD!$E16*0.01)</f>
        <v>62816</v>
      </c>
      <c r="AA34" s="13">
        <f>(DASHBOARD!$C16*DASHBOARD!$D16*0.01*'Saputo (SW Vic &amp; SA)'!$C36)+(DASHBOARD!$C16*DASHBOARD!$E16*0.01*'Saputo (SW Vic &amp; SA)'!$D36)</f>
        <v>57824</v>
      </c>
      <c r="AB34" s="13">
        <f>('Fonterra (SE SA &amp; West Vic)'!$H19*DASHBOARD!$C16*DASHBOARD!$D16*0.01)+('Fonterra (SE SA &amp; West Vic)'!$I19*DASHBOARD!$C16*DASHBOARD!$E16*0.01)+('Fonterra (SE SA &amp; West Vic)'!$J19*DASHBOARD!$C16*DASHBOARD!$D16*0.01)+('Fonterra (SE SA &amp; West Vic)'!$K19*DASHBOARD!$C16*DASHBOARD!$E16*0.01)+('Fonterra (SE SA &amp; West Vic)'!$L19*DASHBOARD!$C16*DASHBOARD!$D16*0.01)+('Fonterra (SE SA &amp; West Vic)'!$M19*DASHBOARD!$C16*DASHBOARD!$E16*0.01)</f>
        <v>68825.600000000006</v>
      </c>
      <c r="AC34" s="13">
        <f>(DASHBOARD!$C16*DASHBOARD!$D16*0.01*'Fonterra (SE SA &amp; West Vic)'!$H35)+('Fonterra (SE SA &amp; West Vic)'!$I35*DASHBOARD!$C16*DASHBOARD!$E16*0.01)+('Fonterra (SE SA &amp; West Vic)'!$J35*DASHBOARD!$C16*DASHBOARD!$D16*0.01)+('Fonterra (SE SA &amp; West Vic)'!$K35*DASHBOARD!$C16*DASHBOARD!$E16*0.01)+('Fonterra (SE SA &amp; West Vic)'!$L35*DASHBOARD!$C16*DASHBOARD!$D16*0.01)+('Fonterra (SE SA &amp; West Vic)'!$M35*DASHBOARD!$C16*DASHBOARD!$E16*0.01)</f>
        <v>73345.600000000006</v>
      </c>
      <c r="AD34" s="13">
        <f>(Frestine!$D15*DASHBOARD!$C16*DASHBOARD!$D16*0.01)+(Frestine!$E15*DASHBOARD!$C16*DASHBOARD!$E16*0.01)</f>
        <v>57616</v>
      </c>
      <c r="AE34" s="13">
        <f>DASHBOARD!$F16*Frestine!$D29</f>
        <v>57600.000000000007</v>
      </c>
      <c r="AF34" s="13">
        <f>('KY Valley (West Vic)'!$D15*DASHBOARD!$C16*DASHBOARD!$D16*0.01)+('KY Valley (West Vic)'!$E15*DASHBOARD!$C16*DASHBOARD!$E16*0.01)</f>
        <v>56088</v>
      </c>
      <c r="AG34" s="13">
        <f>('Lactalis (Gippsland &amp; West Vic)'!$D15*DASHBOARD!$C16*DASHBOARD!$D16*0.01)+('Lactalis (Gippsland &amp; West Vic)'!$E15*DASHBOARD!$C16*DASHBOARD!$E16*0.01)+('Lactalis (Gippsland &amp; West Vic)'!$F15*DASHBOARD!$C16*DASHBOARD!$D16*0.01)+('Lactalis (Gippsland &amp; West Vic)'!$G15*DASHBOARD!$C16*DASHBOARD!$E16*0.01)</f>
        <v>66808</v>
      </c>
      <c r="AH34" s="13">
        <f>(UDC!$C17*DASHBOARD!$C16*DASHBOARD!$D16*0.01)+(UDC!$D17*DASHBOARD!$C16*DASHBOARD!$E16*0.01)+(UDC!$E17*DASHBOARD!$F16)+(UDC!$F17*DASHBOARD!$F16)</f>
        <v>59810.400000000001</v>
      </c>
      <c r="AI34" s="13">
        <f>(DASHBOARD!$C17*DASHBOARD!$D17*0.01*UDC!$C32)+(UDC!$D32*0.01*DASHBOARD!$C17*DASHBOARD!$E17)+(DASHBOARD!$F17*UDC!$E32)+(UDC!$F32)</f>
        <v>0</v>
      </c>
    </row>
    <row r="35" spans="3:35">
      <c r="C35" s="11"/>
      <c r="D35" s="11"/>
      <c r="E35" s="37"/>
      <c r="F35" s="7"/>
      <c r="G35" s="7"/>
      <c r="H35" s="7"/>
      <c r="I35" s="7"/>
      <c r="J35" s="9"/>
      <c r="K35" s="9"/>
      <c r="L35" s="9"/>
      <c r="N35" s="11"/>
      <c r="O35" s="37"/>
      <c r="P35" s="37"/>
      <c r="Q35" s="7"/>
      <c r="R35" s="7"/>
      <c r="S35" s="7"/>
      <c r="T35" s="7"/>
      <c r="U35" s="7"/>
      <c r="V35" s="7"/>
      <c r="W35" s="7"/>
      <c r="X35" s="7"/>
      <c r="Y35" s="7"/>
      <c r="Z35" s="9"/>
      <c r="AA35" s="9"/>
      <c r="AB35" s="9"/>
      <c r="AC35" s="9"/>
      <c r="AD35" s="7"/>
      <c r="AE35" s="7"/>
      <c r="AF35" s="9"/>
      <c r="AG35" s="9"/>
      <c r="AH35" s="7"/>
      <c r="AI35" s="7"/>
    </row>
    <row r="36" spans="3:35">
      <c r="C36" s="12" t="s">
        <v>26</v>
      </c>
      <c r="D36" s="36"/>
      <c r="E36" s="38">
        <f t="shared" ref="E36:G36" si="6">SUM(E23:E34)</f>
        <v>806484</v>
      </c>
      <c r="F36" s="38">
        <f t="shared" si="6"/>
        <v>858534</v>
      </c>
      <c r="G36" s="38">
        <f t="shared" si="6"/>
        <v>664843.19999999984</v>
      </c>
      <c r="H36" s="38">
        <f t="shared" ref="H36" si="7">SUM(H23:H34)</f>
        <v>671931.19999999984</v>
      </c>
      <c r="I36" s="38">
        <f>SUM(I23:I34)</f>
        <v>775920</v>
      </c>
      <c r="J36" s="38">
        <f>SUM(J23:J34)</f>
        <v>399499.20000000007</v>
      </c>
      <c r="K36" s="38">
        <f>SUM(K23:K34)</f>
        <v>699848</v>
      </c>
      <c r="L36" s="38">
        <f t="shared" ref="L36" si="8">SUM(L23:L34)</f>
        <v>681408</v>
      </c>
      <c r="N36" s="36"/>
      <c r="O36" s="38">
        <f>SUM(O23:O34)</f>
        <v>677832</v>
      </c>
      <c r="P36" s="38">
        <f t="shared" ref="P36:Q36" si="9">SUM(P23:P34)</f>
        <v>708576</v>
      </c>
      <c r="Q36" s="38">
        <f t="shared" si="9"/>
        <v>686880</v>
      </c>
      <c r="R36" s="38">
        <f t="shared" ref="R36:S36" si="10">SUM(R23:R34)</f>
        <v>684403.19999999984</v>
      </c>
      <c r="S36" s="38">
        <f t="shared" si="10"/>
        <v>664809.60000000009</v>
      </c>
      <c r="T36" s="38">
        <f>SUM(T23:T34)</f>
        <v>747360.00000000012</v>
      </c>
      <c r="U36" s="38">
        <f>SUM(U23:U34)</f>
        <v>747340.80000000016</v>
      </c>
      <c r="V36" s="38">
        <f>SUM(V23:V34)</f>
        <v>858534</v>
      </c>
      <c r="W36" s="38">
        <f t="shared" ref="W36:Y36" si="11">SUM(W23:W34)</f>
        <v>651302.39999999991</v>
      </c>
      <c r="X36" s="38">
        <f t="shared" si="11"/>
        <v>662284.80000000016</v>
      </c>
      <c r="Y36" s="38">
        <f t="shared" si="11"/>
        <v>657171.20000000007</v>
      </c>
      <c r="Z36" s="38">
        <f>SUM(Z23:Z34)</f>
        <v>712712</v>
      </c>
      <c r="AA36" s="38">
        <f>SUM(AA23:AA34)</f>
        <v>693888</v>
      </c>
      <c r="AB36" s="38">
        <f>SUM(AB23:AB34)</f>
        <v>805267.19999999984</v>
      </c>
      <c r="AC36" s="38">
        <f>SUM(AC23:AC34)</f>
        <v>808787.19999999984</v>
      </c>
      <c r="AD36" s="38">
        <f>SUM(AD23:AD34)</f>
        <v>691392</v>
      </c>
      <c r="AE36" s="38">
        <f>SUM(AE23:AE34)</f>
        <v>691200.00000000012</v>
      </c>
      <c r="AF36" s="38">
        <f>SUM(AF23:AF34)</f>
        <v>673056</v>
      </c>
      <c r="AG36" s="38">
        <f>SUM(AG23:AG34)</f>
        <v>768320</v>
      </c>
      <c r="AH36" s="38">
        <f>SUM(AH23:AH34)</f>
        <v>681724.80000000016</v>
      </c>
      <c r="AI36" s="38">
        <f t="shared" ref="AI36" si="12">SUM(AI23:AI34)</f>
        <v>694814.40000000014</v>
      </c>
    </row>
    <row r="37" spans="3:35">
      <c r="D37" s="43" t="s">
        <v>71</v>
      </c>
      <c r="E37" s="42">
        <f>E36/DASHBOARD!$C$18</f>
        <v>0.67206999999999995</v>
      </c>
      <c r="F37" s="42">
        <f>F36/DASHBOARD!$C$18</f>
        <v>0.715445</v>
      </c>
      <c r="G37" s="42">
        <f>G36/DASHBOARD!$C$18</f>
        <v>0.55403599999999986</v>
      </c>
      <c r="H37" s="42">
        <f>H36/DASHBOARD!$C$18</f>
        <v>0.55994266666666648</v>
      </c>
      <c r="I37" s="42">
        <f>I36/DASHBOARD!$C$18</f>
        <v>0.64659999999999995</v>
      </c>
      <c r="J37" s="42">
        <f>J36/DASHBOARD!$C$18</f>
        <v>0.33291600000000005</v>
      </c>
      <c r="K37" s="42">
        <f>K36/DASHBOARD!$C$18</f>
        <v>0.58320666666666665</v>
      </c>
      <c r="L37" s="42">
        <f>L36/DASHBOARD!$C$18</f>
        <v>0.56784000000000001</v>
      </c>
      <c r="O37" s="42">
        <f>O36/DASHBOARD!$C$18</f>
        <v>0.56486000000000003</v>
      </c>
      <c r="P37" s="42">
        <f>P36/DASHBOARD!$C$18</f>
        <v>0.59048</v>
      </c>
      <c r="Q37" s="42">
        <f>Q36/DASHBOARD!$C$18</f>
        <v>0.57240000000000002</v>
      </c>
      <c r="R37" s="42">
        <f>R36/DASHBOARD!$C$18</f>
        <v>0.57033599999999984</v>
      </c>
      <c r="S37" s="42">
        <f>S36/DASHBOARD!$C$18</f>
        <v>0.55400800000000006</v>
      </c>
      <c r="T37" s="42">
        <f>T36/DASHBOARD!$C$18</f>
        <v>0.62280000000000013</v>
      </c>
      <c r="U37" s="42">
        <f>U36/DASHBOARD!$C$18</f>
        <v>0.62278400000000012</v>
      </c>
      <c r="V37" s="42">
        <f>V36/DASHBOARD!$C$18</f>
        <v>0.715445</v>
      </c>
      <c r="W37" s="42">
        <f>W36/DASHBOARD!$C$18</f>
        <v>0.5427519999999999</v>
      </c>
      <c r="X37" s="42">
        <f>X36/DASHBOARD!$C$18</f>
        <v>0.55190400000000017</v>
      </c>
      <c r="Y37" s="42">
        <f>Y36/DASHBOARD!$C$18</f>
        <v>0.54764266666666672</v>
      </c>
      <c r="Z37" s="42">
        <f>Z36/DASHBOARD!$C$18</f>
        <v>0.59392666666666671</v>
      </c>
      <c r="AA37" s="42">
        <f>AA36/DASHBOARD!$C$18</f>
        <v>0.57823999999999998</v>
      </c>
      <c r="AB37" s="42">
        <f>AB36/DASHBOARD!$C$18</f>
        <v>0.67105599999999987</v>
      </c>
      <c r="AC37" s="42">
        <f>AC36/DASHBOARD!$C$18</f>
        <v>0.67398933333333322</v>
      </c>
      <c r="AD37" s="42">
        <f>AD36/DASHBOARD!$C$18</f>
        <v>0.57616000000000001</v>
      </c>
      <c r="AE37" s="42">
        <f>AE36/DASHBOARD!$C$18</f>
        <v>0.57600000000000007</v>
      </c>
      <c r="AF37" s="42">
        <f>AF36/DASHBOARD!$C$18</f>
        <v>0.56088000000000005</v>
      </c>
      <c r="AG37" s="42">
        <f>AG36/DASHBOARD!$C$18</f>
        <v>0.64026666666666665</v>
      </c>
      <c r="AH37" s="42">
        <f>AH36/DASHBOARD!$C$18</f>
        <v>0.56810400000000016</v>
      </c>
      <c r="AI37" s="42">
        <f>AI36/DASHBOARD!$C$18</f>
        <v>0.57901200000000008</v>
      </c>
    </row>
    <row r="38" spans="3:35">
      <c r="D38" s="43" t="s">
        <v>72</v>
      </c>
      <c r="E38" s="42">
        <f>E36/DASHBOARD!$F$18</f>
        <v>9.3343055555555541</v>
      </c>
      <c r="F38" s="42">
        <f>F36/DASHBOARD!$F$18</f>
        <v>9.9367361111111094</v>
      </c>
      <c r="G38" s="42">
        <f>G36/DASHBOARD!$F$18</f>
        <v>7.6949444444444417</v>
      </c>
      <c r="H38" s="42">
        <f>H36/DASHBOARD!$F$18</f>
        <v>7.7769814814814779</v>
      </c>
      <c r="I38" s="42">
        <f>I36/DASHBOARD!$F$18</f>
        <v>8.9805555555555543</v>
      </c>
      <c r="J38" s="42">
        <f>J36/DASHBOARD!$F$18</f>
        <v>4.6238333333333337</v>
      </c>
      <c r="K38" s="42">
        <f>K36/DASHBOARD!$F$18</f>
        <v>8.100092592592592</v>
      </c>
      <c r="L38" s="42">
        <f>L36/DASHBOARD!$F$18</f>
        <v>7.8866666666666649</v>
      </c>
      <c r="N38" s="42"/>
      <c r="O38" s="42">
        <f>O36/DASHBOARD!$F$18</f>
        <v>7.8452777777777767</v>
      </c>
      <c r="P38" s="42">
        <f>P36/DASHBOARD!$F$18</f>
        <v>8.2011111111111106</v>
      </c>
      <c r="Q38" s="42">
        <f>Q36/DASHBOARD!$F$18</f>
        <v>7.9499999999999984</v>
      </c>
      <c r="R38" s="42">
        <f>R36/DASHBOARD!$F$18</f>
        <v>7.9213333333333305</v>
      </c>
      <c r="S38" s="42">
        <f>S36/DASHBOARD!$F$18</f>
        <v>7.6945555555555556</v>
      </c>
      <c r="T38" s="42">
        <f>T36/DASHBOARD!$F$18</f>
        <v>8.65</v>
      </c>
      <c r="U38" s="42">
        <f>U36/DASHBOARD!$F$18</f>
        <v>8.6497777777777785</v>
      </c>
      <c r="V38" s="42">
        <f>V36/DASHBOARD!$F$18</f>
        <v>9.9367361111111094</v>
      </c>
      <c r="W38" s="42">
        <f>W36/DASHBOARD!$F$18</f>
        <v>7.5382222222222195</v>
      </c>
      <c r="X38" s="42">
        <f>X36/DASHBOARD!$F$18</f>
        <v>7.6653333333333338</v>
      </c>
      <c r="Y38" s="42">
        <f>Y36/DASHBOARD!$F$18</f>
        <v>7.6061481481481481</v>
      </c>
      <c r="Z38" s="42">
        <f>Z36/DASHBOARD!$F$18</f>
        <v>8.2489814814814792</v>
      </c>
      <c r="AA38" s="42">
        <f>AA36/DASHBOARD!$F$18</f>
        <v>8.0311111111111106</v>
      </c>
      <c r="AB38" s="42">
        <f>AB36/DASHBOARD!$F$18</f>
        <v>9.3202222222222186</v>
      </c>
      <c r="AC38" s="42">
        <f>AC36/DASHBOARD!$F$18</f>
        <v>9.3609629629629598</v>
      </c>
      <c r="AD38" s="42">
        <f>AD36/DASHBOARD!$F$18</f>
        <v>8.0022222222222208</v>
      </c>
      <c r="AE38" s="42">
        <f>AE36/DASHBOARD!$F$18</f>
        <v>8</v>
      </c>
      <c r="AF38" s="42">
        <f>AF36/DASHBOARD!$F$18</f>
        <v>7.7899999999999983</v>
      </c>
      <c r="AG38" s="42">
        <f>AG36/DASHBOARD!$F$18</f>
        <v>8.8925925925925906</v>
      </c>
      <c r="AH38" s="42">
        <f>AH36/DASHBOARD!$F$18</f>
        <v>7.8903333333333343</v>
      </c>
      <c r="AI38" s="42">
        <f>AI36/DASHBOARD!$F$18</f>
        <v>8.0418333333333329</v>
      </c>
    </row>
    <row r="41" spans="3:35" ht="45.75">
      <c r="C41" s="17" t="s">
        <v>35</v>
      </c>
      <c r="D41" s="35" t="s">
        <v>2</v>
      </c>
      <c r="E41" s="10" t="s">
        <v>102</v>
      </c>
      <c r="F41" s="10" t="s">
        <v>103</v>
      </c>
      <c r="G41" s="10" t="s">
        <v>104</v>
      </c>
      <c r="H41" s="10" t="s">
        <v>105</v>
      </c>
      <c r="I41" s="10" t="s">
        <v>106</v>
      </c>
      <c r="J41" s="10" t="s">
        <v>107</v>
      </c>
      <c r="K41" s="10" t="s">
        <v>108</v>
      </c>
      <c r="L41" s="10" t="s">
        <v>109</v>
      </c>
      <c r="M41" s="10" t="s">
        <v>110</v>
      </c>
      <c r="N41" s="10" t="s">
        <v>111</v>
      </c>
      <c r="O41" s="10" t="s">
        <v>112</v>
      </c>
      <c r="P41" s="10" t="s">
        <v>113</v>
      </c>
      <c r="Q41" s="10" t="s">
        <v>114</v>
      </c>
      <c r="R41" s="10" t="s">
        <v>115</v>
      </c>
      <c r="S41" s="10" t="s">
        <v>116</v>
      </c>
      <c r="T41" s="10" t="s">
        <v>117</v>
      </c>
      <c r="U41" s="10" t="s">
        <v>118</v>
      </c>
      <c r="V41" s="10" t="s">
        <v>119</v>
      </c>
      <c r="W41" s="10" t="s">
        <v>120</v>
      </c>
      <c r="X41" s="10" t="s">
        <v>121</v>
      </c>
      <c r="Y41" s="10" t="s">
        <v>122</v>
      </c>
      <c r="Z41" s="10" t="s">
        <v>123</v>
      </c>
      <c r="AB41" s="35" t="s">
        <v>124</v>
      </c>
      <c r="AC41" s="10" t="s">
        <v>125</v>
      </c>
      <c r="AD41" s="10" t="s">
        <v>126</v>
      </c>
    </row>
    <row r="42" spans="3:35">
      <c r="C42" s="11"/>
      <c r="D42" s="39" t="s">
        <v>60</v>
      </c>
      <c r="E42" s="13">
        <f>(ACM!$D4*DASHBOARD!$D5*DASHBOARD!$C5*0.01)+(ACM!$E4*DASHBOARD!$E5*DASHBOARD!$C5*0.01)+(ACM!$F4*DASHBOARD!$C5)</f>
        <v>57564</v>
      </c>
      <c r="F42" s="13">
        <f>(ADFC!$C4*0.01*DASHBOARD!$C5*DASHBOARD!$D5)+(ADFC!$D4*0.01*DASHBOARD!$C5*DASHBOARD!$E5)+(ADFC!$E4*DASHBOARD!$C5*DASHBOARD!$D5*0.01)+(ADFC!$F4*DASHBOARD!$E5*DASHBOARD!$C5*0.01)</f>
        <v>55440</v>
      </c>
      <c r="G42" s="13">
        <f>('Bega (North Vic &amp; Riverina)'!$D4*DASHBOARD!$C5*DASHBOARD!$D5*0.01)+('Bega (North Vic &amp; Riverina)'!$E4*DASHBOARD!$C5*DASHBOARD!$E5*0.01)+('Bega (North Vic &amp; Riverina)'!$F4*DASHBOARD!$C5*DASHBOARD!$D5*0.01)+('Bega (North Vic &amp; Riverina)'!$G4*DASHBOARD!$C5*DASHBOARD!$E5*0.01)-('Bega (North Vic &amp; Riverina)'!$H4)</f>
        <v>56312</v>
      </c>
      <c r="H42" s="13">
        <f>(DASHBOARD!$C5*DASHBOARD!$D5*0.01*'Bega (North Vic &amp; Riverina)'!$D20)+('Bega (North Vic &amp; Riverina)'!$E20*DASHBOARD!$C5*DASHBOARD!$E5*0.01)</f>
        <v>57033.599999999999</v>
      </c>
      <c r="I42" s="13">
        <f>('Bega (North Vic &amp; Riverina)'!$D35*DASHBOARD!$C5*DASHBOARD!$D5*0.01)+(DASHBOARD!$C5*DASHBOARD!$E5*0.01*'Bega (North Vic &amp; Riverina)'!$E35)</f>
        <v>57240</v>
      </c>
      <c r="J42" s="13">
        <f>(Bulla!$C3*DASHBOARD!$F5)</f>
        <v>62280.000000000007</v>
      </c>
      <c r="K42" s="13">
        <f>(Bulla!$C17*DASHBOARD!$C5*DASHBOARD!$D5*0.01)+(Bulla!$D17*DASHBOARD!$C5*DASHBOARD!$E5*0.01)</f>
        <v>62278.400000000001</v>
      </c>
      <c r="L42" s="13">
        <f>('Coles (Vic, Riverina, &amp; SE SA)'!$D5*DASHBOARD!$C5*DASHBOARD!$D5*0.01)+('Coles (Vic, Riverina, &amp; SE SA)'!$E5*DASHBOARD!$C5*DASHBOARD!$E5*0.01)-('Coles (Vic, Riverina, &amp; SE SA)'!$F5)</f>
        <v>75435</v>
      </c>
      <c r="M42" s="13">
        <f>('DFMC (Vic)'!$F5*DASHBOARD!$C5*DASHBOARD!$D5*0.01)+('DFMC (Vic)'!$G5*DASHBOARD!$C5*DASHBOARD!$E5*0.01)+('DFMC (Vic)'!$H5*DASHBOARD!$F5)</f>
        <v>59429.600000000006</v>
      </c>
      <c r="N42" s="13">
        <f>('DFMC (Vic)'!$F25*DASHBOARD!$C5*DASHBOARD!$D5*0.01)+('DFMC (Vic)'!$G25*DASHBOARD!$C5*DASHBOARD!$E5*0.01)+('DFMC (Vic)'!$H25*DASHBOARD!$F5)</f>
        <v>55191.200000000004</v>
      </c>
      <c r="O42" s="13">
        <f>('DFMC (Vic)'!$F39*DASHBOARD!$C5*DASHBOARD!$D5*0.01)+('DFMC (Vic)'!$G39*DASHBOARD!$C5*DASHBOARD!$E5*0.01)</f>
        <v>55190.400000000001</v>
      </c>
      <c r="P42" s="13">
        <f>('Riverina Fresh'!$C5*DASHBOARD!$C5*DASHBOARD!$D5*0.01)+('Riverina Fresh'!$D5*DASHBOARD!$E5*DASHBOARD!$C5*0.01)+('Riverina Fresh'!$E5*DASHBOARD!$C5*DASHBOARD!$D5*0.01)+('Riverina Fresh'!$F5*DASHBOARD!$C5*DASHBOARD!$E5*0.01)-('Riverina Fresh'!$H5*DASHBOARD!$C5)-('Riverina Fresh'!G5)</f>
        <v>57669.98000000001</v>
      </c>
      <c r="Q42" s="13">
        <f>(Noumi!$C4*DASHBOARD!$C5*DASHBOARD!$D5*0.01)+(Noumi!$D4*DASHBOARD!$C5*DASHBOARD!$E5*0.01)</f>
        <v>58312</v>
      </c>
      <c r="R42" s="13">
        <f>('Fonterra (North Vic &amp; Riverina)'!$H8*DASHBOARD!$C5*DASHBOARD!$D5*0.01)+('Fonterra (North Vic &amp; Riverina)'!$I8*DASHBOARD!$C5*DASHBOARD!$E5*0.01)+('Fonterra (North Vic &amp; Riverina)'!$J8*DASHBOARD!$C5*DASHBOARD!$D5*0.01)+('Fonterra (North Vic &amp; Riverina)'!$K8*DASHBOARD!$C5*DASHBOARD!$E5*0.01)+('Fonterra (North Vic &amp; Riverina)'!$L8*0.01*DASHBOARD!$C5*DASHBOARD!$D5)+('Fonterra (North Vic &amp; Riverina)'!$M24*DASHBOARD!$C5*DASHBOARD!$E5*0.01)</f>
        <v>61161.599999999999</v>
      </c>
      <c r="S42" s="13">
        <f>('Fonterra (North Vic &amp; Riverina)'!$H24*DASHBOARD!$C5*DASHBOARD!$D5*0.01)+('Fonterra (North Vic &amp; Riverina)'!$I24*DASHBOARD!$C5*DASHBOARD!$E5*0.01)+('Fonterra (North Vic &amp; Riverina)'!$J24*DASHBOARD!$C5*DASHBOARD!$D5*0.01)+('Fonterra (North Vic &amp; Riverina)'!$K24*DASHBOARD!$C5*DASHBOARD!$E5*0.01)+('Fonterra (North Vic &amp; Riverina)'!$L24*DASHBOARD!$C5*DASHBOARD!$D5*0.01)+('Fonterra (North Vic &amp; Riverina)'!$M24*DASHBOARD!$C5*DASHBOARD!$E5*0.01)</f>
        <v>62113.599999999999</v>
      </c>
      <c r="T42" s="13">
        <f>(Frestine!$D4*DASHBOARD!$C5*DASHBOARD!$D5*0.01)+(Frestine!$E4*DASHBOARD!$C5*DASHBOARD!$E5*0.01)</f>
        <v>57616</v>
      </c>
      <c r="U42" s="13">
        <f>DASHBOARD!$F5*Frestine!$D18</f>
        <v>57600.000000000007</v>
      </c>
      <c r="V42" s="13">
        <f>(GVC!$D4*DASHBOARD!$C5*DASHBOARD!$D5*0.01)+(GVC!$E4*DASHBOARD!$C5*DASHBOARD!$E5*0.01)</f>
        <v>60496</v>
      </c>
      <c r="W42" s="13">
        <f>('KY Valley (North Vic)'!$D4*DASHBOARD!$C5)+('KY Valley (North Vic)'!$E4*DASHBOARD!$C5*DASHBOARD!$D5*0.01)</f>
        <v>70000</v>
      </c>
      <c r="X42" s="13">
        <f>('Lactalis (Vic, Tas, &amp; Riverina)'!$C8*DASHBOARD!$C5*DASHBOARD!$D5*0.01)+('Lactalis (Vic, Tas, &amp; Riverina)'!$D8*DASHBOARD!$C5*DASHBOARD!$E5*0.01)+('Lactalis (Vic, Tas, &amp; Riverina)'!$E8*DASHBOARD!$C5*DASHBOARD!$D5*0.01)+('Lactalis (Vic, Tas, &amp; Riverina)'!$F8*DASHBOARD!$C5*DASHBOARD!$E5*0.01)</f>
        <v>60120</v>
      </c>
      <c r="Y42" s="13">
        <f>('Saputo (North Vic)'!$C4*DASHBOARD!$C5*DASHBOARD!$D5*0.01)+('Saputo (North Vic)'!$D4*DASHBOARD!$C5*DASHBOARD!$E5*0.01)+('Saputo (North Vic)'!$E4*DASHBOARD!$C5*DASHBOARD!$D5*0.01)+('Saputo (North Vic)'!$F4*DASHBOARD!$C5*DASHBOARD!$E5*0.01)+('Saputo (North Vic)'!$G4*DASHBOARD!$C5*DASHBOARD!$D5*0.01)+('Saputo (North Vic)'!$H4*DASHBOARD!$C5*DASHBOARD!$E5*0.01)</f>
        <v>62816</v>
      </c>
      <c r="Z42" s="13">
        <f>(DASHBOARD!$C5*DASHBOARD!$D5*0.01*'Saputo (North Vic)'!$C24)+(DASHBOARD!$C5*DASHBOARD!$E5*0.01*'Saputo (North Vic)'!$D24)</f>
        <v>57824</v>
      </c>
      <c r="AB42" s="39" t="s">
        <v>60</v>
      </c>
      <c r="AC42" s="13">
        <f>('Lactalis (QLD)'!$D4*DASHBOARD!$C5)+('Lactalis (QLD)'!$E4*DASHBOARD!$C5*DASHBOARD!$D5*0.01)+('Lactalis (QLD)'!$F4*DASHBOARD!$C5*DASHBOARD!$E5*0.01)+('Lactalis (QLD)'!$G4*DASHBOARD!$C5*DASHBOARD!$E5*0.01)+('Lactalis (QLD)'!$H4*DASHBOARD!$C5)</f>
        <v>81775.64</v>
      </c>
      <c r="AD42" s="13">
        <f>('Norco (North Region)'!$E5*DASHBOARD!$C5*DASHBOARD!$D5*0.01)+('Norco (North Region)'!$F5*DASHBOARD!$C5*DASHBOARD!$E5*0.01)+('Norco (North Region)'!$G5*DASHBOARD!$C5)+('Norco (North Region)'!$H5*DASHBOARD!$F5)+('Norco (North Region)'!$I5*DASHBOARD!$C5)+('Norco (North Region)'!$J5*DASHBOARD!$C5)-('Norco (North Region)'!$K5)</f>
        <v>74770</v>
      </c>
    </row>
    <row r="43" spans="3:35">
      <c r="C43" s="11"/>
      <c r="D43" s="39" t="s">
        <v>61</v>
      </c>
      <c r="E43" s="13">
        <f>(ACM!$D5*DASHBOARD!$D6*DASHBOARD!$C6*0.01)+(ACM!$E5*DASHBOARD!$E6*DASHBOARD!$C6*0.01)+(ACM!$F5*DASHBOARD!$C6)</f>
        <v>57564</v>
      </c>
      <c r="F43" s="13">
        <f>(ADFC!$C5*0.01*DASHBOARD!$C6*DASHBOARD!$D6)+(ADFC!$D5*0.01*DASHBOARD!$C6*DASHBOARD!$E6)+(ADFC!$E5*DASHBOARD!$C6*DASHBOARD!$D6*0.01)+(ADFC!$F5*DASHBOARD!$E6*DASHBOARD!$C6*0.01)</f>
        <v>55440</v>
      </c>
      <c r="G43" s="13">
        <f>('Bega (North Vic &amp; Riverina)'!$D5*DASHBOARD!$C6*DASHBOARD!$D6*0.01)+('Bega (North Vic &amp; Riverina)'!$E5*DASHBOARD!$C6*DASHBOARD!$E6*0.01)+('Bega (North Vic &amp; Riverina)'!$F5*DASHBOARD!$C6*DASHBOARD!$D6*0.01)+('Bega (North Vic &amp; Riverina)'!$G5*DASHBOARD!$C6*DASHBOARD!$E6*0.01)-('Bega (North Vic &amp; Riverina)'!$H5)</f>
        <v>56312</v>
      </c>
      <c r="H43" s="13">
        <f>(DASHBOARD!$C6*DASHBOARD!$D6*0.01*'Bega (North Vic &amp; Riverina)'!$D21)+('Bega (North Vic &amp; Riverina)'!$E21*DASHBOARD!$C6*DASHBOARD!$E6*0.01)</f>
        <v>57033.599999999999</v>
      </c>
      <c r="I43" s="13">
        <f>('Bega (North Vic &amp; Riverina)'!$D36*DASHBOARD!$C6*DASHBOARD!$D6*0.01)+(DASHBOARD!$C6*DASHBOARD!$E6*0.01*'Bega (North Vic &amp; Riverina)'!$E36)</f>
        <v>57240</v>
      </c>
      <c r="J43" s="13">
        <f>(Bulla!$C4*DASHBOARD!$F6)</f>
        <v>62280.000000000007</v>
      </c>
      <c r="K43" s="13">
        <f>(Bulla!$C18*DASHBOARD!$C6*DASHBOARD!$D6*0.01)+(Bulla!$D18*DASHBOARD!$C6*DASHBOARD!$E6*0.01)</f>
        <v>62278.400000000001</v>
      </c>
      <c r="L43" s="13">
        <f>('Coles (Vic, Riverina, &amp; SE SA)'!$D6*DASHBOARD!$C6*DASHBOARD!$D6*0.01)+('Coles (Vic, Riverina, &amp; SE SA)'!$E6*DASHBOARD!$C6*DASHBOARD!$E6*0.01)-('Coles (Vic, Riverina, &amp; SE SA)'!$F6)</f>
        <v>75435</v>
      </c>
      <c r="M43" s="13">
        <f>('DFMC (Vic)'!$F6*DASHBOARD!$C6*DASHBOARD!$D6*0.01)+('DFMC (Vic)'!$G6*DASHBOARD!$C6*DASHBOARD!$E6*0.01)+('DFMC (Vic)'!$H6*DASHBOARD!$F6)</f>
        <v>53111.199999999997</v>
      </c>
      <c r="N43" s="13">
        <f>('DFMC (Vic)'!$F26*DASHBOARD!$C6*DASHBOARD!$D6*0.01)+('DFMC (Vic)'!$G26*DASHBOARD!$C6*DASHBOARD!$E6*0.01)+('DFMC (Vic)'!$H26*DASHBOARD!$F6)</f>
        <v>55191.200000000004</v>
      </c>
      <c r="O43" s="13">
        <f>('DFMC (Vic)'!$F40*DASHBOARD!$C6*DASHBOARD!$D6*0.01)+('DFMC (Vic)'!$G40*DASHBOARD!$C6*DASHBOARD!$E6*0.01)</f>
        <v>55190.400000000001</v>
      </c>
      <c r="P43" s="13">
        <f>('Riverina Fresh'!$C6*DASHBOARD!$C6*DASHBOARD!$D6*0.01)+('Riverina Fresh'!$D6*DASHBOARD!$E6*DASHBOARD!$C6*0.01)+('Riverina Fresh'!$E6*DASHBOARD!$C6*DASHBOARD!$D6*0.01)+('Riverina Fresh'!$F6*DASHBOARD!$C6*DASHBOARD!$E6*0.01)-('Riverina Fresh'!$H6*DASHBOARD!$C6)-('Riverina Fresh'!G6)</f>
        <v>48661.979999999996</v>
      </c>
      <c r="Q43" s="13">
        <f>(Noumi!$C5*DASHBOARD!$C6*DASHBOARD!$D6*0.01)+(Noumi!$D5*DASHBOARD!$C6*DASHBOARD!$E6*0.01)</f>
        <v>58312</v>
      </c>
      <c r="R43" s="13">
        <f>('Fonterra (North Vic &amp; Riverina)'!$H9*DASHBOARD!$C6*DASHBOARD!$D6*0.01)+('Fonterra (North Vic &amp; Riverina)'!$I9*DASHBOARD!$C6*DASHBOARD!$E6*0.01)+('Fonterra (North Vic &amp; Riverina)'!$J9*DASHBOARD!$C6*DASHBOARD!$D6*0.01)+('Fonterra (North Vic &amp; Riverina)'!$K9*DASHBOARD!$C6*DASHBOARD!$E6*0.01)+('Fonterra (North Vic &amp; Riverina)'!$L9*0.01*DASHBOARD!$C6*DASHBOARD!$D6)+('Fonterra (North Vic &amp; Riverina)'!$M25*DASHBOARD!$C6*DASHBOARD!$E6*0.01)</f>
        <v>61161.599999999999</v>
      </c>
      <c r="S43" s="13">
        <f>('Fonterra (North Vic &amp; Riverina)'!$H25*DASHBOARD!$C6*DASHBOARD!$D6*0.01)+('Fonterra (North Vic &amp; Riverina)'!$I25*DASHBOARD!$C6*DASHBOARD!$E6*0.01)+('Fonterra (North Vic &amp; Riverina)'!$J25*DASHBOARD!$C6*DASHBOARD!$D6*0.01)+('Fonterra (North Vic &amp; Riverina)'!$K25*DASHBOARD!$C6*DASHBOARD!$E6*0.01)+('Fonterra (North Vic &amp; Riverina)'!$L25*DASHBOARD!$C6*DASHBOARD!$D6*0.01)+('Fonterra (North Vic &amp; Riverina)'!$M25*DASHBOARD!$C6*DASHBOARD!$E6*0.01)</f>
        <v>59569.599999999999</v>
      </c>
      <c r="T43" s="13">
        <f>(Frestine!$D5*DASHBOARD!$C6*DASHBOARD!$D6*0.01)+(Frestine!$E5*DASHBOARD!$C6*DASHBOARD!$E6*0.01)</f>
        <v>57616</v>
      </c>
      <c r="U43" s="13">
        <f>DASHBOARD!$F6*Frestine!$D19</f>
        <v>57600.000000000007</v>
      </c>
      <c r="V43" s="13">
        <f>(GVC!$D5*DASHBOARD!$C6*DASHBOARD!$D6*0.01)+(GVC!$E5*DASHBOARD!$C6*DASHBOARD!$E6*0.01)</f>
        <v>60496</v>
      </c>
      <c r="W43" s="13">
        <f>('KY Valley (North Vic)'!$D5*DASHBOARD!$C6)+('KY Valley (North Vic)'!$E5*DASHBOARD!$C6*DASHBOARD!$D6*0.01)</f>
        <v>70000</v>
      </c>
      <c r="X43" s="13">
        <f>('Lactalis (Vic, Tas, &amp; Riverina)'!$C9*DASHBOARD!$C6*DASHBOARD!$D6*0.01)+('Lactalis (Vic, Tas, &amp; Riverina)'!$D9*DASHBOARD!$C6*DASHBOARD!$E6*0.01)+('Lactalis (Vic, Tas, &amp; Riverina)'!$E9*DASHBOARD!$C6*DASHBOARD!$D6*0.01)+('Lactalis (Vic, Tas, &amp; Riverina)'!$F9*DASHBOARD!$C6*DASHBOARD!$E6*0.01)</f>
        <v>60120</v>
      </c>
      <c r="Y43" s="13">
        <f>('Saputo (North Vic)'!$C5*DASHBOARD!$C6*DASHBOARD!$D6*0.01)+('Saputo (North Vic)'!$D5*DASHBOARD!$C6*DASHBOARD!$E6*0.01)+('Saputo (North Vic)'!$E5*DASHBOARD!$C6*DASHBOARD!$D6*0.01)+('Saputo (North Vic)'!$F5*DASHBOARD!$C6*DASHBOARD!$E6*0.01)+('Saputo (North Vic)'!$G5*DASHBOARD!$C6*DASHBOARD!$D6*0.01)+('Saputo (North Vic)'!$H5*DASHBOARD!$C6*DASHBOARD!$E6*0.01)</f>
        <v>54600</v>
      </c>
      <c r="Z43" s="13">
        <f>(DASHBOARD!$C6*DASHBOARD!$D6*0.01*'Saputo (North Vic)'!$C25)+(DASHBOARD!$C6*DASHBOARD!$E6*0.01*'Saputo (North Vic)'!$D25)</f>
        <v>57824</v>
      </c>
      <c r="AB43" s="39" t="s">
        <v>61</v>
      </c>
      <c r="AC43" s="13">
        <f>('Lactalis (QLD)'!$D5*DASHBOARD!$C6)+('Lactalis (QLD)'!$E5*DASHBOARD!$C6*DASHBOARD!$D6*0.01)+('Lactalis (QLD)'!$F5*DASHBOARD!$C6*DASHBOARD!$E6*0.01)+('Lactalis (QLD)'!$G5*DASHBOARD!$C6*DASHBOARD!$E6*0.01)+('Lactalis (QLD)'!$H5*DASHBOARD!$C6)</f>
        <v>81775.64</v>
      </c>
      <c r="AD43" s="13">
        <f>('Norco (North Region)'!$E6*DASHBOARD!$C6*DASHBOARD!$D6*0.01)+('Norco (North Region)'!$F6*DASHBOARD!$C6*DASHBOARD!$E6*0.01)+('Norco (North Region)'!$G6*DASHBOARD!$C6)+('Norco (North Region)'!$H6*DASHBOARD!$F6)+('Norco (North Region)'!$I6*DASHBOARD!$C6)+('Norco (North Region)'!$J6*DASHBOARD!$C6)-('Norco (North Region)'!$K6)</f>
        <v>74770</v>
      </c>
    </row>
    <row r="44" spans="3:35">
      <c r="C44" s="11"/>
      <c r="D44" s="39" t="s">
        <v>62</v>
      </c>
      <c r="E44" s="13">
        <f>(ACM!$D6*DASHBOARD!$D7*DASHBOARD!$C7*0.01)+(ACM!$E6*DASHBOARD!$E7*DASHBOARD!$C7*0.01)+(ACM!$F6*DASHBOARD!$C7)</f>
        <v>53252</v>
      </c>
      <c r="F44" s="13">
        <f>(ADFC!$C6*0.01*DASHBOARD!$C7*DASHBOARD!$D7)+(ADFC!$D6*0.01*DASHBOARD!$C7*DASHBOARD!$E7)+(ADFC!$E6*DASHBOARD!$C7*DASHBOARD!$D7*0.01)+(ADFC!$F6*DASHBOARD!$E7*DASHBOARD!$C7*0.01)</f>
        <v>55440</v>
      </c>
      <c r="G44" s="13">
        <f>('Bega (North Vic &amp; Riverina)'!$D6*DASHBOARD!$C7*DASHBOARD!$D7*0.01)+('Bega (North Vic &amp; Riverina)'!$E6*DASHBOARD!$C7*DASHBOARD!$E7*0.01)+('Bega (North Vic &amp; Riverina)'!$F6*DASHBOARD!$C7*DASHBOARD!$D7*0.01)+('Bega (North Vic &amp; Riverina)'!$G6*DASHBOARD!$C7*DASHBOARD!$E7*0.01)-('Bega (North Vic &amp; Riverina)'!$H6)</f>
        <v>52659.199999999997</v>
      </c>
      <c r="H44" s="13">
        <f>(DASHBOARD!$C7*DASHBOARD!$D7*0.01*'Bega (North Vic &amp; Riverina)'!$D22)+('Bega (North Vic &amp; Riverina)'!$E22*DASHBOARD!$C7*DASHBOARD!$E7*0.01)</f>
        <v>57033.599999999999</v>
      </c>
      <c r="I44" s="13">
        <f>('Bega (North Vic &amp; Riverina)'!$D37*DASHBOARD!$C7*DASHBOARD!$D7*0.01)+(DASHBOARD!$C7*DASHBOARD!$E7*0.01*'Bega (North Vic &amp; Riverina)'!$E37)</f>
        <v>57240</v>
      </c>
      <c r="J44" s="13">
        <f>(Bulla!$C5*DASHBOARD!$F7)</f>
        <v>62280.000000000007</v>
      </c>
      <c r="K44" s="13">
        <f>(Bulla!$C19*DASHBOARD!$C7*DASHBOARD!$D7*0.01)+(Bulla!$D19*DASHBOARD!$C7*DASHBOARD!$E7*0.01)</f>
        <v>62278.400000000001</v>
      </c>
      <c r="L44" s="13">
        <f>('Coles (Vic, Riverina, &amp; SE SA)'!$D7*DASHBOARD!$C7*DASHBOARD!$D7*0.01)+('Coles (Vic, Riverina, &amp; SE SA)'!$E7*DASHBOARD!$C7*DASHBOARD!$E7*0.01)-('Coles (Vic, Riverina, &amp; SE SA)'!$F7)</f>
        <v>63726</v>
      </c>
      <c r="M44" s="13">
        <f>('DFMC (Vic)'!$F7*DASHBOARD!$C7*DASHBOARD!$D7*0.01)+('DFMC (Vic)'!$G7*DASHBOARD!$C7*DASHBOARD!$E7*0.01)+('DFMC (Vic)'!$H7*DASHBOARD!$F7)</f>
        <v>49953.600000000006</v>
      </c>
      <c r="N44" s="13">
        <f>('DFMC (Vic)'!$F27*DASHBOARD!$C7*DASHBOARD!$D7*0.01)+('DFMC (Vic)'!$G27*DASHBOARD!$C7*DASHBOARD!$E7*0.01)+('DFMC (Vic)'!$H27*DASHBOARD!$F7)</f>
        <v>51527.200000000004</v>
      </c>
      <c r="O44" s="13">
        <f>('DFMC (Vic)'!$F41*DASHBOARD!$C7*DASHBOARD!$D7*0.01)+('DFMC (Vic)'!$G41*DASHBOARD!$C7*DASHBOARD!$E7*0.01)</f>
        <v>55190.400000000001</v>
      </c>
      <c r="P44" s="13">
        <f>('Riverina Fresh'!$C7*DASHBOARD!$C7*DASHBOARD!$D7*0.01)+('Riverina Fresh'!$D7*DASHBOARD!$E7*DASHBOARD!$C7*0.01)+('Riverina Fresh'!$E7*DASHBOARD!$C7*DASHBOARD!$D7*0.01)+('Riverina Fresh'!$F7*DASHBOARD!$C7*DASHBOARD!$E7*0.01)-('Riverina Fresh'!$H7*DASHBOARD!$C7)-('Riverina Fresh'!G7)</f>
        <v>48673.399999999994</v>
      </c>
      <c r="Q44" s="13">
        <f>(Noumi!$C6*DASHBOARD!$C7*DASHBOARD!$D7*0.01)+(Noumi!$D6*DASHBOARD!$C7*DASHBOARD!$E7*0.01)</f>
        <v>58312</v>
      </c>
      <c r="R44" s="13">
        <f>('Fonterra (North Vic &amp; Riverina)'!$H10*DASHBOARD!$C7*DASHBOARD!$D7*0.01)+('Fonterra (North Vic &amp; Riverina)'!$I10*DASHBOARD!$C7*DASHBOARD!$E7*0.01)+('Fonterra (North Vic &amp; Riverina)'!$J10*DASHBOARD!$C7*DASHBOARD!$D7*0.01)+('Fonterra (North Vic &amp; Riverina)'!$K10*DASHBOARD!$C7*DASHBOARD!$E7*0.01)+('Fonterra (North Vic &amp; Riverina)'!$L10*0.01*DASHBOARD!$C7*DASHBOARD!$D7)+('Fonterra (North Vic &amp; Riverina)'!$M26*DASHBOARD!$C7*DASHBOARD!$E7*0.01)</f>
        <v>56001.599999999999</v>
      </c>
      <c r="S44" s="13">
        <f>('Fonterra (North Vic &amp; Riverina)'!$H26*DASHBOARD!$C7*DASHBOARD!$D7*0.01)+('Fonterra (North Vic &amp; Riverina)'!$I26*DASHBOARD!$C7*DASHBOARD!$E7*0.01)+('Fonterra (North Vic &amp; Riverina)'!$J26*DASHBOARD!$C7*DASHBOARD!$D7*0.01)+('Fonterra (North Vic &amp; Riverina)'!$K26*DASHBOARD!$C7*DASHBOARD!$E7*0.01)+('Fonterra (North Vic &amp; Riverina)'!$L26*DASHBOARD!$C7*DASHBOARD!$D7*0.01)+('Fonterra (North Vic &amp; Riverina)'!$M26*DASHBOARD!$C7*DASHBOARD!$E7*0.01)</f>
        <v>56001.599999999999</v>
      </c>
      <c r="T44" s="13">
        <f>(Frestine!$D6*DASHBOARD!$C7*DASHBOARD!$D7*0.01)+(Frestine!$E6*DASHBOARD!$C7*DASHBOARD!$E7*0.01)</f>
        <v>57616</v>
      </c>
      <c r="U44" s="13">
        <f>DASHBOARD!$F7*Frestine!$D20</f>
        <v>57600.000000000007</v>
      </c>
      <c r="V44" s="13">
        <f>(GVC!$D6*DASHBOARD!$C7*DASHBOARD!$D7*0.01)+(GVC!$E6*DASHBOARD!$C7*DASHBOARD!$E7*0.01)</f>
        <v>60496</v>
      </c>
      <c r="W44" s="13">
        <f>('KY Valley (North Vic)'!$D6*DASHBOARD!$C7)+('KY Valley (North Vic)'!$E6*DASHBOARD!$C7*DASHBOARD!$D7*0.01)</f>
        <v>70000</v>
      </c>
      <c r="X44" s="13">
        <f>('Lactalis (Vic, Tas, &amp; Riverina)'!$C10*DASHBOARD!$C7*DASHBOARD!$D7*0.01)+('Lactalis (Vic, Tas, &amp; Riverina)'!$D10*DASHBOARD!$C7*DASHBOARD!$E7*0.01)+('Lactalis (Vic, Tas, &amp; Riverina)'!$E10*DASHBOARD!$C7*DASHBOARD!$D7*0.01)+('Lactalis (Vic, Tas, &amp; Riverina)'!$F10*DASHBOARD!$C7*DASHBOARD!$E7*0.01)</f>
        <v>53432</v>
      </c>
      <c r="Y44" s="13">
        <f>('Saputo (North Vic)'!$C6*DASHBOARD!$C7*DASHBOARD!$D7*0.01)+('Saputo (North Vic)'!$D6*DASHBOARD!$C7*DASHBOARD!$E7*0.01)+('Saputo (North Vic)'!$E6*DASHBOARD!$C7*DASHBOARD!$D7*0.01)+('Saputo (North Vic)'!$F6*DASHBOARD!$C7*DASHBOARD!$E7*0.01)+('Saputo (North Vic)'!$G6*DASHBOARD!$C7*DASHBOARD!$D7*0.01)+('Saputo (North Vic)'!$H6*DASHBOARD!$C7*DASHBOARD!$E7*0.01)</f>
        <v>54600</v>
      </c>
      <c r="Z44" s="13">
        <f>(DASHBOARD!$C7*DASHBOARD!$D7*0.01*'Saputo (North Vic)'!$C26)+(DASHBOARD!$C7*DASHBOARD!$E7*0.01*'Saputo (North Vic)'!$D26)</f>
        <v>57824</v>
      </c>
      <c r="AB44" s="39" t="s">
        <v>62</v>
      </c>
      <c r="AC44" s="13">
        <f>('Lactalis (QLD)'!$D6*DASHBOARD!$C7)+('Lactalis (QLD)'!$E6*DASHBOARD!$C7*DASHBOARD!$D7*0.01)+('Lactalis (QLD)'!$F6*DASHBOARD!$C7*DASHBOARD!$E7*0.01)+('Lactalis (QLD)'!$G6*DASHBOARD!$C7*DASHBOARD!$E7*0.01)+('Lactalis (QLD)'!$H6*DASHBOARD!$C7)</f>
        <v>81775.64</v>
      </c>
      <c r="AD44" s="13">
        <f>('Norco (North Region)'!$E7*DASHBOARD!$C7*DASHBOARD!$D7*0.01)+('Norco (North Region)'!$F7*DASHBOARD!$C7*DASHBOARD!$E7*0.01)+('Norco (North Region)'!$G7*DASHBOARD!$C7)+('Norco (North Region)'!$H7*DASHBOARD!$F7)+('Norco (North Region)'!$I7*DASHBOARD!$C7)+('Norco (North Region)'!$J7*DASHBOARD!$C7)-('Norco (North Region)'!$K7)</f>
        <v>74820</v>
      </c>
    </row>
    <row r="45" spans="3:35">
      <c r="C45" s="11"/>
      <c r="D45" s="39" t="s">
        <v>63</v>
      </c>
      <c r="E45" s="13">
        <f>(ACM!$D7*DASHBOARD!$D8*DASHBOARD!$C8*0.01)+(ACM!$E7*DASHBOARD!$E8*DASHBOARD!$C8*0.01)+(ACM!$F7*DASHBOARD!$C8)</f>
        <v>53252</v>
      </c>
      <c r="F45" s="13">
        <f>(ADFC!$C7*0.01*DASHBOARD!$C8*DASHBOARD!$D8)+(ADFC!$D7*0.01*DASHBOARD!$C8*DASHBOARD!$E8)+(ADFC!$E7*DASHBOARD!$C8*DASHBOARD!$D8*0.01)+(ADFC!$F7*DASHBOARD!$E8*DASHBOARD!$C8*0.01)</f>
        <v>55440</v>
      </c>
      <c r="G45" s="13">
        <f>('Bega (North Vic &amp; Riverina)'!$D7*DASHBOARD!$C8*DASHBOARD!$D8*0.01)+('Bega (North Vic &amp; Riverina)'!$E7*DASHBOARD!$C8*DASHBOARD!$E8*0.01)+('Bega (North Vic &amp; Riverina)'!$F7*DASHBOARD!$C8*DASHBOARD!$D8*0.01)+('Bega (North Vic &amp; Riverina)'!$G7*DASHBOARD!$C8*DASHBOARD!$E8*0.01)-('Bega (North Vic &amp; Riverina)'!$H7)</f>
        <v>52651.199999999997</v>
      </c>
      <c r="H45" s="13">
        <f>(DASHBOARD!$C8*DASHBOARD!$D8*0.01*'Bega (North Vic &amp; Riverina)'!$D23)+('Bega (North Vic &amp; Riverina)'!$E23*DASHBOARD!$C8*DASHBOARD!$E8*0.01)</f>
        <v>57033.599999999999</v>
      </c>
      <c r="I45" s="13">
        <f>('Bega (North Vic &amp; Riverina)'!$D38*DASHBOARD!$C8*DASHBOARD!$D8*0.01)+(DASHBOARD!$C8*DASHBOARD!$E8*0.01*'Bega (North Vic &amp; Riverina)'!$E38)</f>
        <v>57240</v>
      </c>
      <c r="J45" s="13">
        <f>(Bulla!$C6*DASHBOARD!$F8)</f>
        <v>62280.000000000007</v>
      </c>
      <c r="K45" s="13">
        <f>(Bulla!$C20*DASHBOARD!$C8*DASHBOARD!$D8*0.01)+(Bulla!$D20*DASHBOARD!$C8*DASHBOARD!$E8*0.01)</f>
        <v>62278.400000000001</v>
      </c>
      <c r="L45" s="13">
        <f>('Coles (Vic, Riverina, &amp; SE SA)'!$D8*DASHBOARD!$C8*DASHBOARD!$D8*0.01)+('Coles (Vic, Riverina, &amp; SE SA)'!$E8*DASHBOARD!$C8*DASHBOARD!$E8*0.01)-('Coles (Vic, Riverina, &amp; SE SA)'!$F8)</f>
        <v>63651</v>
      </c>
      <c r="M45" s="13">
        <f>('DFMC (Vic)'!$F8*DASHBOARD!$C8*DASHBOARD!$D8*0.01)+('DFMC (Vic)'!$G8*DASHBOARD!$C8*DASHBOARD!$E8*0.01)+('DFMC (Vic)'!$H8*DASHBOARD!$F8)</f>
        <v>49953.600000000006</v>
      </c>
      <c r="N45" s="13">
        <f>('DFMC (Vic)'!$F28*DASHBOARD!$C8*DASHBOARD!$D8*0.01)+('DFMC (Vic)'!$G28*DASHBOARD!$C8*DASHBOARD!$E8*0.01)+('DFMC (Vic)'!$H28*DASHBOARD!$F8)</f>
        <v>51527.200000000004</v>
      </c>
      <c r="O45" s="13">
        <f>('DFMC (Vic)'!$F42*DASHBOARD!$C8*DASHBOARD!$D8*0.01)+('DFMC (Vic)'!$G42*DASHBOARD!$C8*DASHBOARD!$E8*0.01)</f>
        <v>55190.400000000001</v>
      </c>
      <c r="P45" s="13">
        <f>('Riverina Fresh'!$C8*DASHBOARD!$C8*DASHBOARD!$D8*0.01)+('Riverina Fresh'!$D8*DASHBOARD!$E8*DASHBOARD!$C8*0.01)+('Riverina Fresh'!$E8*DASHBOARD!$C8*DASHBOARD!$D8*0.01)+('Riverina Fresh'!$F8*DASHBOARD!$C8*DASHBOARD!$E8*0.01)-('Riverina Fresh'!$H8*DASHBOARD!$C8)-('Riverina Fresh'!G8)</f>
        <v>48661.979999999996</v>
      </c>
      <c r="Q45" s="13">
        <f>(Noumi!$C7*DASHBOARD!$C8*DASHBOARD!$D8*0.01)+(Noumi!$D7*DASHBOARD!$C8*DASHBOARD!$E8*0.01)</f>
        <v>58312</v>
      </c>
      <c r="R45" s="13">
        <f>('Fonterra (North Vic &amp; Riverina)'!$H11*DASHBOARD!$C8*DASHBOARD!$D8*0.01)+('Fonterra (North Vic &amp; Riverina)'!$I11*DASHBOARD!$C8*DASHBOARD!$E8*0.01)+('Fonterra (North Vic &amp; Riverina)'!$J11*DASHBOARD!$C8*DASHBOARD!$D8*0.01)+('Fonterra (North Vic &amp; Riverina)'!$K11*DASHBOARD!$C8*DASHBOARD!$E8*0.01)+('Fonterra (North Vic &amp; Riverina)'!$L11*0.01*DASHBOARD!$C8*DASHBOARD!$D8)+('Fonterra (North Vic &amp; Riverina)'!$M27*DASHBOARD!$C8*DASHBOARD!$E8*0.01)</f>
        <v>56001.599999999999</v>
      </c>
      <c r="S45" s="13">
        <f>('Fonterra (North Vic &amp; Riverina)'!$H27*DASHBOARD!$C8*DASHBOARD!$D8*0.01)+('Fonterra (North Vic &amp; Riverina)'!$I27*DASHBOARD!$C8*DASHBOARD!$E8*0.01)+('Fonterra (North Vic &amp; Riverina)'!$J27*DASHBOARD!$C8*DASHBOARD!$D8*0.01)+('Fonterra (North Vic &amp; Riverina)'!$K27*DASHBOARD!$C8*DASHBOARD!$E8*0.01)+('Fonterra (North Vic &amp; Riverina)'!$L27*DASHBOARD!$C8*DASHBOARD!$D8*0.01)+('Fonterra (North Vic &amp; Riverina)'!$M27*DASHBOARD!$C8*DASHBOARD!$E8*0.01)</f>
        <v>56001.599999999999</v>
      </c>
      <c r="T45" s="13">
        <f>(Frestine!$D7*DASHBOARD!$C8*DASHBOARD!$D8*0.01)+(Frestine!$E7*DASHBOARD!$C8*DASHBOARD!$E8*0.01)</f>
        <v>57616</v>
      </c>
      <c r="U45" s="13">
        <f>DASHBOARD!$F8*Frestine!$D21</f>
        <v>57600.000000000007</v>
      </c>
      <c r="V45" s="13">
        <f>(GVC!$D7*DASHBOARD!$C8*DASHBOARD!$D8*0.01)+(GVC!$E7*DASHBOARD!$C8*DASHBOARD!$E8*0.01)</f>
        <v>60496</v>
      </c>
      <c r="W45" s="13">
        <f>('KY Valley (North Vic)'!$D7*DASHBOARD!$C8)+('KY Valley (North Vic)'!$E7*DASHBOARD!$C8*DASHBOARD!$D8*0.01)</f>
        <v>70000</v>
      </c>
      <c r="X45" s="13">
        <f>('Lactalis (Vic, Tas, &amp; Riverina)'!$C11*DASHBOARD!$C8*DASHBOARD!$D8*0.01)+('Lactalis (Vic, Tas, &amp; Riverina)'!$D11*DASHBOARD!$C8*DASHBOARD!$E8*0.01)+('Lactalis (Vic, Tas, &amp; Riverina)'!$E11*DASHBOARD!$C8*DASHBOARD!$D8*0.01)+('Lactalis (Vic, Tas, &amp; Riverina)'!$F11*DASHBOARD!$C8*DASHBOARD!$E8*0.01)</f>
        <v>53432</v>
      </c>
      <c r="Y45" s="13">
        <f>('Saputo (North Vic)'!$C7*DASHBOARD!$C8*DASHBOARD!$D8*0.01)+('Saputo (North Vic)'!$D7*DASHBOARD!$C8*DASHBOARD!$E8*0.01)+('Saputo (North Vic)'!$E7*DASHBOARD!$C8*DASHBOARD!$D8*0.01)+('Saputo (North Vic)'!$F7*DASHBOARD!$C8*DASHBOARD!$E8*0.01)+('Saputo (North Vic)'!$G7*DASHBOARD!$C8*DASHBOARD!$D8*0.01)+('Saputo (North Vic)'!$H7*DASHBOARD!$C8*DASHBOARD!$E8*0.01)</f>
        <v>54600</v>
      </c>
      <c r="Z45" s="13">
        <f>(DASHBOARD!$C8*DASHBOARD!$D8*0.01*'Saputo (North Vic)'!$C27)+(DASHBOARD!$C8*DASHBOARD!$E8*0.01*'Saputo (North Vic)'!$D27)</f>
        <v>57824</v>
      </c>
      <c r="AB45" s="39" t="s">
        <v>63</v>
      </c>
      <c r="AC45" s="13">
        <f>('Lactalis (QLD)'!$D7*DASHBOARD!$C8)+('Lactalis (QLD)'!$E7*DASHBOARD!$C8*DASHBOARD!$D8*0.01)+('Lactalis (QLD)'!$F7*DASHBOARD!$C8*DASHBOARD!$E8*0.01)+('Lactalis (QLD)'!$G7*DASHBOARD!$C8*DASHBOARD!$E8*0.01)+('Lactalis (QLD)'!$H7*DASHBOARD!$C8)</f>
        <v>81775.64</v>
      </c>
      <c r="AD45" s="13">
        <f>('Norco (North Region)'!$E8*DASHBOARD!$C8*DASHBOARD!$D8*0.01)+('Norco (North Region)'!$F8*DASHBOARD!$C8*DASHBOARD!$E8*0.01)+('Norco (North Region)'!$G8*DASHBOARD!$C8)+('Norco (North Region)'!$H8*DASHBOARD!$F8)+('Norco (North Region)'!$I8*DASHBOARD!$C8)+('Norco (North Region)'!$J8*DASHBOARD!$C8)-('Norco (North Region)'!$K8)</f>
        <v>74770</v>
      </c>
    </row>
    <row r="46" spans="3:35">
      <c r="C46" s="11"/>
      <c r="D46" s="39" t="s">
        <v>64</v>
      </c>
      <c r="E46" s="13">
        <f>(ACM!$D8*DASHBOARD!$D9*DASHBOARD!$C9*0.01)+(ACM!$E8*DASHBOARD!$E9*DASHBOARD!$C9*0.01)+(ACM!$F8*DASHBOARD!$C9)</f>
        <v>53252</v>
      </c>
      <c r="F46" s="13">
        <f>(ADFC!$C8*0.01*DASHBOARD!$C9*DASHBOARD!$D9)+(ADFC!$D8*0.01*DASHBOARD!$C9*DASHBOARD!$E9)+(ADFC!$E8*DASHBOARD!$C9*DASHBOARD!$D9*0.01)+(ADFC!$F8*DASHBOARD!$E9*DASHBOARD!$C9*0.01)</f>
        <v>55440</v>
      </c>
      <c r="G46" s="13">
        <f>('Bega (North Vic &amp; Riverina)'!$D8*DASHBOARD!$C9*DASHBOARD!$D9*0.01)+('Bega (North Vic &amp; Riverina)'!$E8*DASHBOARD!$C9*DASHBOARD!$E9*0.01)+('Bega (North Vic &amp; Riverina)'!$F8*DASHBOARD!$C9*DASHBOARD!$D9*0.01)+('Bega (North Vic &amp; Riverina)'!$G8*DASHBOARD!$C9*DASHBOARD!$E9*0.01)-('Bega (North Vic &amp; Riverina)'!$H8)</f>
        <v>52659.199999999997</v>
      </c>
      <c r="H46" s="13">
        <f>(DASHBOARD!$C9*DASHBOARD!$D9*0.01*'Bega (North Vic &amp; Riverina)'!$D24)+('Bega (North Vic &amp; Riverina)'!$E24*DASHBOARD!$C9*DASHBOARD!$E9*0.01)</f>
        <v>57033.599999999999</v>
      </c>
      <c r="I46" s="13">
        <f>('Bega (North Vic &amp; Riverina)'!$D39*DASHBOARD!$C9*DASHBOARD!$D9*0.01)+(DASHBOARD!$C9*DASHBOARD!$E9*0.01*'Bega (North Vic &amp; Riverina)'!$E39)</f>
        <v>57240</v>
      </c>
      <c r="J46" s="13">
        <f>(Bulla!$C7*DASHBOARD!$F9)</f>
        <v>62280.000000000007</v>
      </c>
      <c r="K46" s="13">
        <f>(Bulla!$C21*DASHBOARD!$C9*DASHBOARD!$D9*0.01)+(Bulla!$D21*DASHBOARD!$C9*DASHBOARD!$E9*0.01)</f>
        <v>62278.400000000001</v>
      </c>
      <c r="L46" s="13">
        <f>('Coles (Vic, Riverina, &amp; SE SA)'!$D9*DASHBOARD!$C9*DASHBOARD!$D9*0.01)+('Coles (Vic, Riverina, &amp; SE SA)'!$E9*DASHBOARD!$C9*DASHBOARD!$E9*0.01)-('Coles (Vic, Riverina, &amp; SE SA)'!$F9)</f>
        <v>63726</v>
      </c>
      <c r="M46" s="13">
        <f>('DFMC (Vic)'!$F9*DASHBOARD!$C9*DASHBOARD!$D9*0.01)+('DFMC (Vic)'!$G9*DASHBOARD!$C9*DASHBOARD!$E9*0.01)+('DFMC (Vic)'!$H9*DASHBOARD!$F9)</f>
        <v>49953.600000000006</v>
      </c>
      <c r="N46" s="13">
        <f>('DFMC (Vic)'!$F29*DASHBOARD!$C9*DASHBOARD!$D9*0.01)+('DFMC (Vic)'!$G29*DASHBOARD!$C9*DASHBOARD!$E9*0.01)+('DFMC (Vic)'!$H29*DASHBOARD!$F9)</f>
        <v>51527.200000000004</v>
      </c>
      <c r="O46" s="13">
        <f>('DFMC (Vic)'!$F43*DASHBOARD!$C9*DASHBOARD!$D9*0.01)+('DFMC (Vic)'!$G43*DASHBOARD!$C9*DASHBOARD!$E9*0.01)</f>
        <v>55190.400000000001</v>
      </c>
      <c r="P46" s="13">
        <f>('Riverina Fresh'!$C9*DASHBOARD!$C9*DASHBOARD!$D9*0.01)+('Riverina Fresh'!$D9*DASHBOARD!$E9*DASHBOARD!$C9*0.01)+('Riverina Fresh'!$E9*DASHBOARD!$C9*DASHBOARD!$D9*0.01)+('Riverina Fresh'!$F9*DASHBOARD!$C9*DASHBOARD!$E9*0.01)-('Riverina Fresh'!$H9*DASHBOARD!$C9)-('Riverina Fresh'!G9)</f>
        <v>48673.399999999994</v>
      </c>
      <c r="Q46" s="13">
        <f>(Noumi!$C8*DASHBOARD!$C9*DASHBOARD!$D9*0.01)+(Noumi!$D8*DASHBOARD!$C9*DASHBOARD!$E9*0.01)</f>
        <v>58312</v>
      </c>
      <c r="R46" s="13">
        <f>('Fonterra (North Vic &amp; Riverina)'!$H12*DASHBOARD!$C9*DASHBOARD!$D9*0.01)+('Fonterra (North Vic &amp; Riverina)'!$I12*DASHBOARD!$C9*DASHBOARD!$E9*0.01)+('Fonterra (North Vic &amp; Riverina)'!$J12*DASHBOARD!$C9*DASHBOARD!$D9*0.01)+('Fonterra (North Vic &amp; Riverina)'!$K12*DASHBOARD!$C9*DASHBOARD!$E9*0.01)+('Fonterra (North Vic &amp; Riverina)'!$L12*0.01*DASHBOARD!$C9*DASHBOARD!$D9)+('Fonterra (North Vic &amp; Riverina)'!$M28*DASHBOARD!$C9*DASHBOARD!$E9*0.01)</f>
        <v>56001.599999999999</v>
      </c>
      <c r="S46" s="13">
        <f>('Fonterra (North Vic &amp; Riverina)'!$H28*DASHBOARD!$C9*DASHBOARD!$D9*0.01)+('Fonterra (North Vic &amp; Riverina)'!$I28*DASHBOARD!$C9*DASHBOARD!$E9*0.01)+('Fonterra (North Vic &amp; Riverina)'!$J28*DASHBOARD!$C9*DASHBOARD!$D9*0.01)+('Fonterra (North Vic &amp; Riverina)'!$K28*DASHBOARD!$C9*DASHBOARD!$E9*0.01)+('Fonterra (North Vic &amp; Riverina)'!$L28*DASHBOARD!$C9*DASHBOARD!$D9*0.01)+('Fonterra (North Vic &amp; Riverina)'!$M28*DASHBOARD!$C9*DASHBOARD!$E9*0.01)</f>
        <v>56001.599999999999</v>
      </c>
      <c r="T46" s="13">
        <f>(Frestine!$D8*DASHBOARD!$C9*DASHBOARD!$D9*0.01)+(Frestine!$E8*DASHBOARD!$C9*DASHBOARD!$E9*0.01)</f>
        <v>57616</v>
      </c>
      <c r="U46" s="13">
        <f>DASHBOARD!$F9*Frestine!$D22</f>
        <v>57600.000000000007</v>
      </c>
      <c r="V46" s="13">
        <f>(GVC!$D8*DASHBOARD!$C9*DASHBOARD!$D9*0.01)+(GVC!$E8*DASHBOARD!$C9*DASHBOARD!$E9*0.01)</f>
        <v>60496</v>
      </c>
      <c r="W46" s="13">
        <f>('KY Valley (North Vic)'!$D8*DASHBOARD!$C9)+('KY Valley (North Vic)'!$E8*DASHBOARD!$C9*DASHBOARD!$D9*0.01)</f>
        <v>70000</v>
      </c>
      <c r="X46" s="13">
        <f>('Lactalis (Vic, Tas, &amp; Riverina)'!$C12*DASHBOARD!$C9*DASHBOARD!$D9*0.01)+('Lactalis (Vic, Tas, &amp; Riverina)'!$D12*DASHBOARD!$C9*DASHBOARD!$E9*0.01)+('Lactalis (Vic, Tas, &amp; Riverina)'!$E12*DASHBOARD!$C9*DASHBOARD!$D9*0.01)+('Lactalis (Vic, Tas, &amp; Riverina)'!$F12*DASHBOARD!$C9*DASHBOARD!$E9*0.01)</f>
        <v>53432</v>
      </c>
      <c r="Y46" s="13">
        <f>('Saputo (North Vic)'!$C8*DASHBOARD!$C9*DASHBOARD!$D9*0.01)+('Saputo (North Vic)'!$D8*DASHBOARD!$C9*DASHBOARD!$E9*0.01)+('Saputo (North Vic)'!$E8*DASHBOARD!$C9*DASHBOARD!$D9*0.01)+('Saputo (North Vic)'!$F8*DASHBOARD!$C9*DASHBOARD!$E9*0.01)+('Saputo (North Vic)'!$G8*DASHBOARD!$C9*DASHBOARD!$D9*0.01)+('Saputo (North Vic)'!$H8*DASHBOARD!$C9*DASHBOARD!$E9*0.01)</f>
        <v>54600</v>
      </c>
      <c r="Z46" s="13">
        <f>(DASHBOARD!$C9*DASHBOARD!$D9*0.01*'Saputo (North Vic)'!$C28)+(DASHBOARD!$C9*DASHBOARD!$E9*0.01*'Saputo (North Vic)'!$D28)</f>
        <v>57824</v>
      </c>
      <c r="AB46" s="39" t="s">
        <v>64</v>
      </c>
      <c r="AC46" s="13">
        <f>('Lactalis (QLD)'!$D8*DASHBOARD!$C9)+('Lactalis (QLD)'!$E8*DASHBOARD!$C9*DASHBOARD!$D9*0.01)+('Lactalis (QLD)'!$F8*DASHBOARD!$C9*DASHBOARD!$E9*0.01)+('Lactalis (QLD)'!$G8*DASHBOARD!$C9*DASHBOARD!$E9*0.01)+('Lactalis (QLD)'!$H8*DASHBOARD!$C9)</f>
        <v>81775.64</v>
      </c>
      <c r="AD46" s="13">
        <f>('Norco (North Region)'!$E9*DASHBOARD!$C9*DASHBOARD!$D9*0.01)+('Norco (North Region)'!$F9*DASHBOARD!$C9*DASHBOARD!$E9*0.01)+('Norco (North Region)'!$G9*DASHBOARD!$C9)+('Norco (North Region)'!$H9*DASHBOARD!$F9)+('Norco (North Region)'!$I9*DASHBOARD!$C9)+('Norco (North Region)'!$J9*DASHBOARD!$C9)-('Norco (North Region)'!$K9)</f>
        <v>74820</v>
      </c>
    </row>
    <row r="47" spans="3:35">
      <c r="C47" s="11"/>
      <c r="D47" s="39" t="s">
        <v>65</v>
      </c>
      <c r="E47" s="13">
        <f>(ACM!$D9*DASHBOARD!$D10*DASHBOARD!$C10*0.01)+(ACM!$E9*DASHBOARD!$E10*DASHBOARD!$C10*0.01)+(ACM!$F9*DASHBOARD!$C10)</f>
        <v>57564</v>
      </c>
      <c r="F47" s="13">
        <f>(ADFC!$C9*0.01*DASHBOARD!$C10*DASHBOARD!$D10)+(ADFC!$D9*0.01*DASHBOARD!$C10*DASHBOARD!$E10)+(ADFC!$E9*DASHBOARD!$C10*DASHBOARD!$D10*0.01)+(ADFC!$F9*DASHBOARD!$E10*DASHBOARD!$C10*0.01)</f>
        <v>55440</v>
      </c>
      <c r="G47" s="13">
        <f>('Bega (North Vic &amp; Riverina)'!$D9*DASHBOARD!$C10*DASHBOARD!$D10*0.01)+('Bega (North Vic &amp; Riverina)'!$E9*DASHBOARD!$C10*DASHBOARD!$E10*0.01)+('Bega (North Vic &amp; Riverina)'!$F9*DASHBOARD!$C10*DASHBOARD!$D10*0.01)+('Bega (North Vic &amp; Riverina)'!$G9*DASHBOARD!$C10*DASHBOARD!$E10*0.01)-('Bega (North Vic &amp; Riverina)'!$H9)</f>
        <v>56312</v>
      </c>
      <c r="H47" s="13">
        <f>(DASHBOARD!$C10*DASHBOARD!$D10*0.01*'Bega (North Vic &amp; Riverina)'!$D25)+('Bega (North Vic &amp; Riverina)'!$E25*DASHBOARD!$C10*DASHBOARD!$E10*0.01)</f>
        <v>57033.599999999999</v>
      </c>
      <c r="I47" s="13">
        <f>('Bega (North Vic &amp; Riverina)'!$D40*DASHBOARD!$C10*DASHBOARD!$D10*0.01)+(DASHBOARD!$C10*DASHBOARD!$E10*0.01*'Bega (North Vic &amp; Riverina)'!$E40)</f>
        <v>57240</v>
      </c>
      <c r="J47" s="13">
        <f>(Bulla!$C8*DASHBOARD!$F10)</f>
        <v>62280.000000000007</v>
      </c>
      <c r="K47" s="13">
        <f>(Bulla!$C22*DASHBOARD!$C10*DASHBOARD!$D10*0.01)+(Bulla!$D22*DASHBOARD!$C10*DASHBOARD!$E10*0.01)</f>
        <v>62278.400000000001</v>
      </c>
      <c r="L47" s="13">
        <f>('Coles (Vic, Riverina, &amp; SE SA)'!$D10*DASHBOARD!$C10*DASHBOARD!$D10*0.01)+('Coles (Vic, Riverina, &amp; SE SA)'!$E10*DASHBOARD!$C10*DASHBOARD!$E10*0.01)-('Coles (Vic, Riverina, &amp; SE SA)'!$F10)</f>
        <v>63651</v>
      </c>
      <c r="M47" s="13">
        <f>('DFMC (Vic)'!$F10*DASHBOARD!$C10*DASHBOARD!$D10*0.01)+('DFMC (Vic)'!$G10*DASHBOARD!$C10*DASHBOARD!$E10*0.01)+('DFMC (Vic)'!$H10*DASHBOARD!$F10)</f>
        <v>49953.600000000006</v>
      </c>
      <c r="N47" s="13">
        <f>('DFMC (Vic)'!$F30*DASHBOARD!$C10*DASHBOARD!$D10*0.01)+('DFMC (Vic)'!$G30*DASHBOARD!$C10*DASHBOARD!$E10*0.01)+('DFMC (Vic)'!$H30*DASHBOARD!$F10)</f>
        <v>55191.200000000004</v>
      </c>
      <c r="O47" s="13">
        <f>('DFMC (Vic)'!$F44*DASHBOARD!$C10*DASHBOARD!$D10*0.01)+('DFMC (Vic)'!$G44*DASHBOARD!$C10*DASHBOARD!$E10*0.01)</f>
        <v>55190.400000000001</v>
      </c>
      <c r="P47" s="13">
        <f>('Riverina Fresh'!$C10*DASHBOARD!$C10*DASHBOARD!$D10*0.01)+('Riverina Fresh'!$D10*DASHBOARD!$E10*DASHBOARD!$C10*0.01)+('Riverina Fresh'!$E10*DASHBOARD!$C10*DASHBOARD!$D10*0.01)+('Riverina Fresh'!$F10*DASHBOARD!$C10*DASHBOARD!$E10*0.01)-('Riverina Fresh'!$H10*DASHBOARD!$C10)-('Riverina Fresh'!G10)</f>
        <v>57669.98000000001</v>
      </c>
      <c r="Q47" s="13">
        <f>(Noumi!$C9*DASHBOARD!$C10*DASHBOARD!$D10*0.01)+(Noumi!$D9*DASHBOARD!$C10*DASHBOARD!$E10*0.01)</f>
        <v>58312</v>
      </c>
      <c r="R47" s="13">
        <f>('Fonterra (North Vic &amp; Riverina)'!$H13*DASHBOARD!$C10*DASHBOARD!$D10*0.01)+('Fonterra (North Vic &amp; Riverina)'!$I13*DASHBOARD!$C10*DASHBOARD!$E10*0.01)+('Fonterra (North Vic &amp; Riverina)'!$J13*DASHBOARD!$C10*DASHBOARD!$D10*0.01)+('Fonterra (North Vic &amp; Riverina)'!$K13*DASHBOARD!$C10*DASHBOARD!$E10*0.01)+('Fonterra (North Vic &amp; Riverina)'!$L13*0.01*DASHBOARD!$C10*DASHBOARD!$D10)+('Fonterra (North Vic &amp; Riverina)'!$M29*DASHBOARD!$C10*DASHBOARD!$E10*0.01)</f>
        <v>56001.599999999999</v>
      </c>
      <c r="S47" s="13">
        <f>('Fonterra (North Vic &amp; Riverina)'!$H29*DASHBOARD!$C10*DASHBOARD!$D10*0.01)+('Fonterra (North Vic &amp; Riverina)'!$I29*DASHBOARD!$C10*DASHBOARD!$E10*0.01)+('Fonterra (North Vic &amp; Riverina)'!$J29*DASHBOARD!$C10*DASHBOARD!$D10*0.01)+('Fonterra (North Vic &amp; Riverina)'!$K29*DASHBOARD!$C10*DASHBOARD!$E10*0.01)+('Fonterra (North Vic &amp; Riverina)'!$L29*DASHBOARD!$C10*DASHBOARD!$D10*0.01)+('Fonterra (North Vic &amp; Riverina)'!$M29*DASHBOARD!$C10*DASHBOARD!$E10*0.01)</f>
        <v>56001.599999999999</v>
      </c>
      <c r="T47" s="13">
        <f>(Frestine!$D9*DASHBOARD!$C10*DASHBOARD!$D10*0.01)+(Frestine!$E9*DASHBOARD!$C10*DASHBOARD!$E10*0.01)</f>
        <v>57616</v>
      </c>
      <c r="U47" s="13">
        <f>DASHBOARD!$F10*Frestine!$D23</f>
        <v>57600.000000000007</v>
      </c>
      <c r="V47" s="13">
        <f>(GVC!$D9*DASHBOARD!$C10*DASHBOARD!$D10*0.01)+(GVC!$E9*DASHBOARD!$C10*DASHBOARD!$E10*0.01)</f>
        <v>60496</v>
      </c>
      <c r="W47" s="13">
        <f>('KY Valley (North Vic)'!$D9*DASHBOARD!$C10)+('KY Valley (North Vic)'!$E9*DASHBOARD!$C10*DASHBOARD!$D10*0.01)</f>
        <v>70000</v>
      </c>
      <c r="X47" s="13">
        <f>('Lactalis (Vic, Tas, &amp; Riverina)'!$C13*DASHBOARD!$C10*DASHBOARD!$D10*0.01)+('Lactalis (Vic, Tas, &amp; Riverina)'!$D13*DASHBOARD!$C10*DASHBOARD!$E10*0.01)+('Lactalis (Vic, Tas, &amp; Riverina)'!$E13*DASHBOARD!$C10*DASHBOARD!$D10*0.01)+('Lactalis (Vic, Tas, &amp; Riverina)'!$F13*DASHBOARD!$C10*DASHBOARD!$E10*0.01)</f>
        <v>60120</v>
      </c>
      <c r="Y47" s="13">
        <f>('Saputo (North Vic)'!$C9*DASHBOARD!$C10*DASHBOARD!$D10*0.01)+('Saputo (North Vic)'!$D9*DASHBOARD!$C10*DASHBOARD!$E10*0.01)+('Saputo (North Vic)'!$E9*DASHBOARD!$C10*DASHBOARD!$D10*0.01)+('Saputo (North Vic)'!$F9*DASHBOARD!$C10*DASHBOARD!$E10*0.01)+('Saputo (North Vic)'!$G9*DASHBOARD!$C10*DASHBOARD!$D10*0.01)+('Saputo (North Vic)'!$H9*DASHBOARD!$C10*DASHBOARD!$E10*0.01)</f>
        <v>54600</v>
      </c>
      <c r="Z47" s="13">
        <f>(DASHBOARD!$C10*DASHBOARD!$D10*0.01*'Saputo (North Vic)'!$C29)+(DASHBOARD!$C10*DASHBOARD!$E10*0.01*'Saputo (North Vic)'!$D29)</f>
        <v>57824</v>
      </c>
      <c r="AB47" s="39" t="s">
        <v>65</v>
      </c>
      <c r="AC47" s="13">
        <f>('Lactalis (QLD)'!$D9*DASHBOARD!$C10)+('Lactalis (QLD)'!$E9*DASHBOARD!$C10*DASHBOARD!$D10*0.01)+('Lactalis (QLD)'!$F9*DASHBOARD!$C10*DASHBOARD!$E10*0.01)+('Lactalis (QLD)'!$G9*DASHBOARD!$C10*DASHBOARD!$E10*0.01)+('Lactalis (QLD)'!$H9*DASHBOARD!$C10)</f>
        <v>81775.64</v>
      </c>
      <c r="AD47" s="13">
        <f>('Norco (North Region)'!$E10*DASHBOARD!$C10*DASHBOARD!$D10*0.01)+('Norco (North Region)'!$F10*DASHBOARD!$C10*DASHBOARD!$E10*0.01)+('Norco (North Region)'!$G10*DASHBOARD!$C10)+('Norco (North Region)'!$H10*DASHBOARD!$F10)+('Norco (North Region)'!$I10*DASHBOARD!$C10)+('Norco (North Region)'!$J10*DASHBOARD!$C10)-('Norco (North Region)'!$K10)</f>
        <v>74770</v>
      </c>
    </row>
    <row r="48" spans="3:35">
      <c r="C48" s="11"/>
      <c r="D48" s="39" t="s">
        <v>66</v>
      </c>
      <c r="E48" s="13">
        <f>(ACM!$D10*DASHBOARD!$D11*DASHBOARD!$C11*0.01)+(ACM!$E10*DASHBOARD!$E11*DASHBOARD!$C11*0.01)+(ACM!$F10*DASHBOARD!$C11)</f>
        <v>57564</v>
      </c>
      <c r="F48" s="13">
        <f>(ADFC!$C10*0.01*DASHBOARD!$C11*DASHBOARD!$D11)+(ADFC!$D10*0.01*DASHBOARD!$C11*DASHBOARD!$E11)+(ADFC!$E10*DASHBOARD!$C11*DASHBOARD!$D11*0.01)+(ADFC!$F10*DASHBOARD!$E11*DASHBOARD!$C11*0.01)</f>
        <v>62656</v>
      </c>
      <c r="G48" s="13">
        <f>('Bega (North Vic &amp; Riverina)'!$D10*DASHBOARD!$C11*DASHBOARD!$D11*0.01)+('Bega (North Vic &amp; Riverina)'!$E10*DASHBOARD!$C11*DASHBOARD!$E11*0.01)+('Bega (North Vic &amp; Riverina)'!$F10*DASHBOARD!$C11*DASHBOARD!$D11*0.01)+('Bega (North Vic &amp; Riverina)'!$G10*DASHBOARD!$C11*DASHBOARD!$E11*0.01)-('Bega (North Vic &amp; Riverina)'!$H10)</f>
        <v>56312</v>
      </c>
      <c r="H48" s="13">
        <f>(DASHBOARD!$C11*DASHBOARD!$D11*0.01*'Bega (North Vic &amp; Riverina)'!$D26)+('Bega (North Vic &amp; Riverina)'!$E26*DASHBOARD!$C11*DASHBOARD!$E11*0.01)</f>
        <v>57033.599999999999</v>
      </c>
      <c r="I48" s="13">
        <f>('Bega (North Vic &amp; Riverina)'!$D41*DASHBOARD!$C11*DASHBOARD!$D11*0.01)+(DASHBOARD!$C11*DASHBOARD!$E11*0.01*'Bega (North Vic &amp; Riverina)'!$E41)</f>
        <v>57240</v>
      </c>
      <c r="J48" s="13">
        <f>(Bulla!$C9*DASHBOARD!$F11)</f>
        <v>62280.000000000007</v>
      </c>
      <c r="K48" s="13">
        <f>(Bulla!$C23*DASHBOARD!$C11*DASHBOARD!$D11*0.01)+(Bulla!$D23*DASHBOARD!$C11*DASHBOARD!$E11*0.01)</f>
        <v>62278.400000000001</v>
      </c>
      <c r="L48" s="13">
        <f>('Coles (Vic, Riverina, &amp; SE SA)'!$D11*DASHBOARD!$C11*DASHBOARD!$D11*0.01)+('Coles (Vic, Riverina, &amp; SE SA)'!$E11*DASHBOARD!$C11*DASHBOARD!$E11*0.01)-('Coles (Vic, Riverina, &amp; SE SA)'!$F11)</f>
        <v>75435</v>
      </c>
      <c r="M48" s="13">
        <f>('DFMC (Vic)'!$F11*DASHBOARD!$C11*DASHBOARD!$D11*0.01)+('DFMC (Vic)'!$G11*DASHBOARD!$C11*DASHBOARD!$E11*0.01)+('DFMC (Vic)'!$H11*DASHBOARD!$F11)</f>
        <v>51882.400000000009</v>
      </c>
      <c r="N48" s="13">
        <f>('DFMC (Vic)'!$F31*DASHBOARD!$C11*DASHBOARD!$D11*0.01)+('DFMC (Vic)'!$G31*DASHBOARD!$C11*DASHBOARD!$E11*0.01)+('DFMC (Vic)'!$H31*DASHBOARD!$F11)</f>
        <v>55191.200000000004</v>
      </c>
      <c r="O48" s="13">
        <f>('DFMC (Vic)'!$F45*DASHBOARD!$C11*DASHBOARD!$D11*0.01)+('DFMC (Vic)'!$G45*DASHBOARD!$C11*DASHBOARD!$E11*0.01)</f>
        <v>55190.400000000001</v>
      </c>
      <c r="P48" s="13">
        <f>('Riverina Fresh'!$C11*DASHBOARD!$C11*DASHBOARD!$D11*0.01)+('Riverina Fresh'!$D11*DASHBOARD!$E11*DASHBOARD!$C11*0.01)+('Riverina Fresh'!$E11*DASHBOARD!$C11*DASHBOARD!$D11*0.01)+('Riverina Fresh'!$F11*DASHBOARD!$C11*DASHBOARD!$E11*0.01)-('Riverina Fresh'!$H11*DASHBOARD!$C11)-('Riverina Fresh'!G11)</f>
        <v>57669.98000000001</v>
      </c>
      <c r="Q48" s="13">
        <f>(Noumi!$C10*DASHBOARD!$C11*DASHBOARD!$D11*0.01)+(Noumi!$D10*DASHBOARD!$C11*DASHBOARD!$E11*0.01)</f>
        <v>58312</v>
      </c>
      <c r="R48" s="13">
        <f>('Fonterra (North Vic &amp; Riverina)'!$H14*DASHBOARD!$C11*DASHBOARD!$D11*0.01)+('Fonterra (North Vic &amp; Riverina)'!$I14*DASHBOARD!$C11*DASHBOARD!$E11*0.01)+('Fonterra (North Vic &amp; Riverina)'!$J14*DASHBOARD!$C11*DASHBOARD!$D11*0.01)+('Fonterra (North Vic &amp; Riverina)'!$K14*DASHBOARD!$C11*DASHBOARD!$E11*0.01)+('Fonterra (North Vic &amp; Riverina)'!$L14*0.01*DASHBOARD!$C11*DASHBOARD!$D11)+('Fonterra (North Vic &amp; Riverina)'!$M30*DASHBOARD!$C11*DASHBOARD!$E11*0.01)</f>
        <v>61161.599999999999</v>
      </c>
      <c r="S48" s="13">
        <f>('Fonterra (North Vic &amp; Riverina)'!$H30*DASHBOARD!$C11*DASHBOARD!$D11*0.01)+('Fonterra (North Vic &amp; Riverina)'!$I30*DASHBOARD!$C11*DASHBOARD!$E11*0.01)+('Fonterra (North Vic &amp; Riverina)'!$J30*DASHBOARD!$C11*DASHBOARD!$D11*0.01)+('Fonterra (North Vic &amp; Riverina)'!$K30*DASHBOARD!$C11*DASHBOARD!$E11*0.01)+('Fonterra (North Vic &amp; Riverina)'!$L30*DASHBOARD!$C11*DASHBOARD!$D11*0.01)+('Fonterra (North Vic &amp; Riverina)'!$M30*DASHBOARD!$C11*DASHBOARD!$E11*0.01)</f>
        <v>56001.599999999999</v>
      </c>
      <c r="T48" s="13">
        <f>(Frestine!$D10*DASHBOARD!$C11*DASHBOARD!$D11*0.01)+(Frestine!$E10*DASHBOARD!$C11*DASHBOARD!$E11*0.01)</f>
        <v>57616</v>
      </c>
      <c r="U48" s="13">
        <f>DASHBOARD!$F11*Frestine!$D24</f>
        <v>57600.000000000007</v>
      </c>
      <c r="V48" s="13">
        <f>(GVC!$D10*DASHBOARD!$C11*DASHBOARD!$D11*0.01)+(GVC!$E10*DASHBOARD!$C11*DASHBOARD!$E11*0.01)</f>
        <v>64792</v>
      </c>
      <c r="W48" s="13">
        <f>('KY Valley (North Vic)'!$D10*DASHBOARD!$C11)+('KY Valley (North Vic)'!$E10*DASHBOARD!$C11*DASHBOARD!$D11*0.01)</f>
        <v>73100</v>
      </c>
      <c r="X48" s="13">
        <f>('Lactalis (Vic, Tas, &amp; Riverina)'!$C14*DASHBOARD!$C11*DASHBOARD!$D11*0.01)+('Lactalis (Vic, Tas, &amp; Riverina)'!$D14*DASHBOARD!$C11*DASHBOARD!$E11*0.01)+('Lactalis (Vic, Tas, &amp; Riverina)'!$E14*DASHBOARD!$C11*DASHBOARD!$D11*0.01)+('Lactalis (Vic, Tas, &amp; Riverina)'!$F14*DASHBOARD!$C11*DASHBOARD!$E11*0.01)</f>
        <v>72544</v>
      </c>
      <c r="Y48" s="13">
        <f>('Saputo (North Vic)'!$C10*DASHBOARD!$C11*DASHBOARD!$D11*0.01)+('Saputo (North Vic)'!$D10*DASHBOARD!$C11*DASHBOARD!$E11*0.01)+('Saputo (North Vic)'!$E10*DASHBOARD!$C11*DASHBOARD!$D11*0.01)+('Saputo (North Vic)'!$F10*DASHBOARD!$C11*DASHBOARD!$E11*0.01)+('Saputo (North Vic)'!$G10*DASHBOARD!$C11*DASHBOARD!$D11*0.01)+('Saputo (North Vic)'!$H10*DASHBOARD!$C11*DASHBOARD!$E11*0.01)</f>
        <v>62816</v>
      </c>
      <c r="Z48" s="13">
        <f>(DASHBOARD!$C11*DASHBOARD!$D11*0.01*'Saputo (North Vic)'!$C30)+(DASHBOARD!$C11*DASHBOARD!$E11*0.01*'Saputo (North Vic)'!$D30)</f>
        <v>57824</v>
      </c>
      <c r="AB48" s="39" t="s">
        <v>66</v>
      </c>
      <c r="AC48" s="13">
        <f>('Lactalis (QLD)'!$D10*DASHBOARD!$C11)+('Lactalis (QLD)'!$E10*DASHBOARD!$C11*DASHBOARD!$D11*0.01)+('Lactalis (QLD)'!$F10*DASHBOARD!$C11*DASHBOARD!$E11*0.01)+('Lactalis (QLD)'!$G10*DASHBOARD!$C11*DASHBOARD!$E11*0.01)+('Lactalis (QLD)'!$H10*DASHBOARD!$C11)</f>
        <v>86275.64</v>
      </c>
      <c r="AD48" s="13">
        <f>('Norco (North Region)'!$E11*DASHBOARD!$C11*DASHBOARD!$D11*0.01)+('Norco (North Region)'!$F11*DASHBOARD!$C11*DASHBOARD!$E11*0.01)+('Norco (North Region)'!$G11*DASHBOARD!$C11)+('Norco (North Region)'!$H11*DASHBOARD!$F11)+('Norco (North Region)'!$I11*DASHBOARD!$C11)+('Norco (North Region)'!$J11*DASHBOARD!$C11)-('Norco (North Region)'!$K11)</f>
        <v>83814</v>
      </c>
    </row>
    <row r="49" spans="3:30">
      <c r="C49" s="11"/>
      <c r="D49" s="39" t="s">
        <v>67</v>
      </c>
      <c r="E49" s="13">
        <f>(ACM!$D11*DASHBOARD!$D12*DASHBOARD!$C12*0.01)+(ACM!$E11*DASHBOARD!$E12*DASHBOARD!$C12*0.01)+(ACM!$F11*DASHBOARD!$C12)</f>
        <v>57564</v>
      </c>
      <c r="F49" s="13">
        <f>(ADFC!$C11*0.01*DASHBOARD!$C12*DASHBOARD!$D12)+(ADFC!$D11*0.01*DASHBOARD!$C12*DASHBOARD!$E12)+(ADFC!$E11*DASHBOARD!$C12*DASHBOARD!$D12*0.01)+(ADFC!$F11*DASHBOARD!$E12*DASHBOARD!$C12*0.01)</f>
        <v>62656</v>
      </c>
      <c r="G49" s="13">
        <f>('Bega (North Vic &amp; Riverina)'!$D11*DASHBOARD!$C12*DASHBOARD!$D12*0.01)+('Bega (North Vic &amp; Riverina)'!$E11*DASHBOARD!$C12*DASHBOARD!$E12*0.01)+('Bega (North Vic &amp; Riverina)'!$F11*DASHBOARD!$C12*DASHBOARD!$D12*0.01)+('Bega (North Vic &amp; Riverina)'!$G11*DASHBOARD!$C12*DASHBOARD!$E12*0.01)-('Bega (North Vic &amp; Riverina)'!$H11)</f>
        <v>56336</v>
      </c>
      <c r="H49" s="13">
        <f>(DASHBOARD!$C12*DASHBOARD!$D12*0.01*'Bega (North Vic &amp; Riverina)'!$D27)+('Bega (North Vic &amp; Riverina)'!$E27*DASHBOARD!$C12*DASHBOARD!$E12*0.01)</f>
        <v>57033.599999999999</v>
      </c>
      <c r="I49" s="13">
        <f>('Bega (North Vic &amp; Riverina)'!$D42*DASHBOARD!$C12*DASHBOARD!$D12*0.01)+(DASHBOARD!$C12*DASHBOARD!$E12*0.01*'Bega (North Vic &amp; Riverina)'!$E42)</f>
        <v>57240</v>
      </c>
      <c r="J49" s="13">
        <f>(Bulla!$C10*DASHBOARD!$F12)</f>
        <v>62280.000000000007</v>
      </c>
      <c r="K49" s="13">
        <f>(Bulla!$C24*DASHBOARD!$C12*DASHBOARD!$D12*0.01)+(Bulla!$D24*DASHBOARD!$C12*DASHBOARD!$E12*0.01)</f>
        <v>62278.400000000001</v>
      </c>
      <c r="L49" s="13">
        <f>('Coles (Vic, Riverina, &amp; SE SA)'!$D12*DASHBOARD!$C12*DASHBOARD!$D12*0.01)+('Coles (Vic, Riverina, &amp; SE SA)'!$E12*DASHBOARD!$C12*DASHBOARD!$E12*0.01)-('Coles (Vic, Riverina, &amp; SE SA)'!$F12)</f>
        <v>75660</v>
      </c>
      <c r="M49" s="13">
        <f>('DFMC (Vic)'!$F12*DASHBOARD!$C12*DASHBOARD!$D12*0.01)+('DFMC (Vic)'!$G12*DASHBOARD!$C12*DASHBOARD!$E12*0.01)+('DFMC (Vic)'!$H12*DASHBOARD!$F12)</f>
        <v>55040</v>
      </c>
      <c r="N49" s="13">
        <f>('DFMC (Vic)'!$F32*DASHBOARD!$C12*DASHBOARD!$D12*0.01)+('DFMC (Vic)'!$G32*DASHBOARD!$C12*DASHBOARD!$E12*0.01)+('DFMC (Vic)'!$H32*DASHBOARD!$F12)</f>
        <v>55191.200000000004</v>
      </c>
      <c r="O49" s="13">
        <f>('DFMC (Vic)'!$F46*DASHBOARD!$C12*DASHBOARD!$D12*0.01)+('DFMC (Vic)'!$G46*DASHBOARD!$C12*DASHBOARD!$E12*0.01)</f>
        <v>55190.400000000001</v>
      </c>
      <c r="P49" s="13">
        <f>('Riverina Fresh'!$C12*DASHBOARD!$C12*DASHBOARD!$D12*0.01)+('Riverina Fresh'!$D12*DASHBOARD!$E12*DASHBOARD!$C12*0.01)+('Riverina Fresh'!$E12*DASHBOARD!$C12*DASHBOARD!$D12*0.01)+('Riverina Fresh'!$F12*DASHBOARD!$C12*DASHBOARD!$E12*0.01)-('Riverina Fresh'!$H12*DASHBOARD!$C12)-('Riverina Fresh'!G12)</f>
        <v>57704.240000000005</v>
      </c>
      <c r="Q49" s="13">
        <f>(Noumi!$C11*DASHBOARD!$C12*DASHBOARD!$D12*0.01)+(Noumi!$D11*DASHBOARD!$C12*DASHBOARD!$E12*0.01)</f>
        <v>58312</v>
      </c>
      <c r="R49" s="13">
        <f>('Fonterra (North Vic &amp; Riverina)'!$H15*DASHBOARD!$C12*DASHBOARD!$D12*0.01)+('Fonterra (North Vic &amp; Riverina)'!$I15*DASHBOARD!$C12*DASHBOARD!$E12*0.01)+('Fonterra (North Vic &amp; Riverina)'!$J15*DASHBOARD!$C12*DASHBOARD!$D12*0.01)+('Fonterra (North Vic &amp; Riverina)'!$K15*DASHBOARD!$C12*DASHBOARD!$E12*0.01)+('Fonterra (North Vic &amp; Riverina)'!$L15*0.01*DASHBOARD!$C12*DASHBOARD!$D12)+('Fonterra (North Vic &amp; Riverina)'!$M31*DASHBOARD!$C12*DASHBOARD!$E12*0.01)</f>
        <v>61161.599999999999</v>
      </c>
      <c r="S49" s="13">
        <f>('Fonterra (North Vic &amp; Riverina)'!$H31*DASHBOARD!$C12*DASHBOARD!$D12*0.01)+('Fonterra (North Vic &amp; Riverina)'!$I31*DASHBOARD!$C12*DASHBOARD!$E12*0.01)+('Fonterra (North Vic &amp; Riverina)'!$J31*DASHBOARD!$C12*DASHBOARD!$D12*0.01)+('Fonterra (North Vic &amp; Riverina)'!$K31*DASHBOARD!$C12*DASHBOARD!$E12*0.01)+('Fonterra (North Vic &amp; Riverina)'!$L31*DASHBOARD!$C12*DASHBOARD!$D12*0.01)+('Fonterra (North Vic &amp; Riverina)'!$M31*DASHBOARD!$C12*DASHBOARD!$E12*0.01)</f>
        <v>59569.599999999999</v>
      </c>
      <c r="T49" s="13">
        <f>(Frestine!$D11*DASHBOARD!$C12*DASHBOARD!$D12*0.01)+(Frestine!$E11*DASHBOARD!$C12*DASHBOARD!$E12*0.01)</f>
        <v>57616</v>
      </c>
      <c r="U49" s="13">
        <f>DASHBOARD!$F12*Frestine!$D25</f>
        <v>57600.000000000007</v>
      </c>
      <c r="V49" s="13">
        <f>(GVC!$D11*DASHBOARD!$C12*DASHBOARD!$D12*0.01)+(GVC!$E11*DASHBOARD!$C12*DASHBOARD!$E12*0.01)</f>
        <v>64792</v>
      </c>
      <c r="W49" s="13">
        <f>('KY Valley (North Vic)'!$D11*DASHBOARD!$C12)+('KY Valley (North Vic)'!$E11*DASHBOARD!$C12*DASHBOARD!$D12*0.01)</f>
        <v>77000</v>
      </c>
      <c r="X49" s="13">
        <f>('Lactalis (Vic, Tas, &amp; Riverina)'!$C15*DASHBOARD!$C12*DASHBOARD!$D12*0.01)+('Lactalis (Vic, Tas, &amp; Riverina)'!$D15*DASHBOARD!$C12*DASHBOARD!$E12*0.01)+('Lactalis (Vic, Tas, &amp; Riverina)'!$E15*DASHBOARD!$C12*DASHBOARD!$D12*0.01)+('Lactalis (Vic, Tas, &amp; Riverina)'!$F15*DASHBOARD!$C12*DASHBOARD!$E12*0.01)</f>
        <v>72544</v>
      </c>
      <c r="Y49" s="13">
        <f>('Saputo (North Vic)'!$C11*DASHBOARD!$C12*DASHBOARD!$D12*0.01)+('Saputo (North Vic)'!$D11*DASHBOARD!$C12*DASHBOARD!$E12*0.01)+('Saputo (North Vic)'!$E11*DASHBOARD!$C12*DASHBOARD!$D12*0.01)+('Saputo (North Vic)'!$F11*DASHBOARD!$C12*DASHBOARD!$E12*0.01)+('Saputo (North Vic)'!$G11*DASHBOARD!$C12*DASHBOARD!$D12*0.01)+('Saputo (North Vic)'!$H11*DASHBOARD!$C12*DASHBOARD!$E12*0.01)</f>
        <v>62816</v>
      </c>
      <c r="Z49" s="13">
        <f>(DASHBOARD!$C12*DASHBOARD!$D12*0.01*'Saputo (North Vic)'!$C31)+(DASHBOARD!$C12*DASHBOARD!$E12*0.01*'Saputo (North Vic)'!$D31)</f>
        <v>57824</v>
      </c>
      <c r="AB49" s="39" t="s">
        <v>67</v>
      </c>
      <c r="AC49" s="13">
        <f>('Lactalis (QLD)'!$D11*DASHBOARD!$C12)+('Lactalis (QLD)'!$E11*DASHBOARD!$C12*DASHBOARD!$D12*0.01)+('Lactalis (QLD)'!$F11*DASHBOARD!$C12*DASHBOARD!$E12*0.01)+('Lactalis (QLD)'!$G11*DASHBOARD!$C12*DASHBOARD!$E12*0.01)+('Lactalis (QLD)'!$H11*DASHBOARD!$C12)</f>
        <v>86275.64</v>
      </c>
      <c r="AD49" s="13">
        <f>('Norco (North Region)'!$E12*DASHBOARD!$C12*DASHBOARD!$D12*0.01)+('Norco (North Region)'!$F12*DASHBOARD!$C12*DASHBOARD!$E12*0.01)+('Norco (North Region)'!$G12*DASHBOARD!$C12)+('Norco (North Region)'!$H12*DASHBOARD!$F12)+('Norco (North Region)'!$I12*DASHBOARD!$C12)+('Norco (North Region)'!$J12*DASHBOARD!$C12)-('Norco (North Region)'!$K12)</f>
        <v>85964</v>
      </c>
    </row>
    <row r="50" spans="3:30">
      <c r="C50" s="11"/>
      <c r="D50" s="39" t="s">
        <v>68</v>
      </c>
      <c r="E50" s="13">
        <f>(ACM!$D12*DASHBOARD!$D13*DASHBOARD!$C13*0.01)+(ACM!$E12*DASHBOARD!$E13*DASHBOARD!$C13*0.01)+(ACM!$F12*DASHBOARD!$C13)</f>
        <v>57564</v>
      </c>
      <c r="F50" s="13">
        <f>(ADFC!$C12*0.01*DASHBOARD!$C13*DASHBOARD!$D13)+(ADFC!$D12*0.01*DASHBOARD!$C13*DASHBOARD!$E13)+(ADFC!$E12*DASHBOARD!$C13*DASHBOARD!$D13*0.01)+(ADFC!$F12*DASHBOARD!$E13*DASHBOARD!$C13*0.01)</f>
        <v>62656</v>
      </c>
      <c r="G50" s="13">
        <f>('Bega (North Vic &amp; Riverina)'!$D12*DASHBOARD!$C13*DASHBOARD!$D13*0.01)+('Bega (North Vic &amp; Riverina)'!$E12*DASHBOARD!$C13*DASHBOARD!$E13*0.01)+('Bega (North Vic &amp; Riverina)'!$F12*DASHBOARD!$C13*DASHBOARD!$D13*0.01)+('Bega (North Vic &amp; Riverina)'!$G12*DASHBOARD!$C13*DASHBOARD!$E13*0.01)-('Bega (North Vic &amp; Riverina)'!$H12)</f>
        <v>56312</v>
      </c>
      <c r="H50" s="13">
        <f>(DASHBOARD!$C13*DASHBOARD!$D13*0.01*'Bega (North Vic &amp; Riverina)'!$D28)+('Bega (North Vic &amp; Riverina)'!$E28*DASHBOARD!$C13*DASHBOARD!$E13*0.01)</f>
        <v>57033.599999999999</v>
      </c>
      <c r="I50" s="13">
        <f>('Bega (North Vic &amp; Riverina)'!$D43*DASHBOARD!$C13*DASHBOARD!$D13*0.01)+(DASHBOARD!$C13*DASHBOARD!$E13*0.01*'Bega (North Vic &amp; Riverina)'!$E43)</f>
        <v>57240</v>
      </c>
      <c r="J50" s="13">
        <f>(Bulla!$C11*DASHBOARD!$F13)</f>
        <v>62280.000000000007</v>
      </c>
      <c r="K50" s="13">
        <f>(Bulla!$C25*DASHBOARD!$C13*DASHBOARD!$D13*0.01)+(Bulla!$D25*DASHBOARD!$C13*DASHBOARD!$E13*0.01)</f>
        <v>62278.400000000001</v>
      </c>
      <c r="L50" s="13">
        <f>('Coles (Vic, Riverina, &amp; SE SA)'!$D13*DASHBOARD!$C13*DASHBOARD!$D13*0.01)+('Coles (Vic, Riverina, &amp; SE SA)'!$E13*DASHBOARD!$C13*DASHBOARD!$E13*0.01)-('Coles (Vic, Riverina, &amp; SE SA)'!$F13)</f>
        <v>75435</v>
      </c>
      <c r="M50" s="13">
        <f>('DFMC (Vic)'!$F13*DASHBOARD!$C13*DASHBOARD!$D13*0.01)+('DFMC (Vic)'!$G13*DASHBOARD!$C13*DASHBOARD!$E13*0.01)+('DFMC (Vic)'!$H13*DASHBOARD!$F13)</f>
        <v>57672.800000000003</v>
      </c>
      <c r="N50" s="13">
        <f>('DFMC (Vic)'!$F33*DASHBOARD!$C13*DASHBOARD!$D13*0.01)+('DFMC (Vic)'!$G33*DASHBOARD!$C13*DASHBOARD!$E13*0.01)+('DFMC (Vic)'!$H33*DASHBOARD!$F13)</f>
        <v>55191.200000000004</v>
      </c>
      <c r="O50" s="13">
        <f>('DFMC (Vic)'!$F47*DASHBOARD!$C13*DASHBOARD!$D13*0.01)+('DFMC (Vic)'!$G47*DASHBOARD!$C13*DASHBOARD!$E13*0.01)</f>
        <v>55190.400000000001</v>
      </c>
      <c r="P50" s="13">
        <f>('Riverina Fresh'!$C13*DASHBOARD!$C13*DASHBOARD!$D13*0.01)+('Riverina Fresh'!$D13*DASHBOARD!$E13*DASHBOARD!$C13*0.01)+('Riverina Fresh'!$E13*DASHBOARD!$C13*DASHBOARD!$D13*0.01)+('Riverina Fresh'!$F13*DASHBOARD!$C13*DASHBOARD!$E13*0.01)-('Riverina Fresh'!$H13*DASHBOARD!$C13)-('Riverina Fresh'!G13)</f>
        <v>57669.98000000001</v>
      </c>
      <c r="Q50" s="13">
        <f>(Noumi!$C12*DASHBOARD!$C13*DASHBOARD!$D13*0.01)+(Noumi!$D12*DASHBOARD!$C13*DASHBOARD!$E13*0.01)</f>
        <v>58312</v>
      </c>
      <c r="R50" s="13">
        <f>('Fonterra (North Vic &amp; Riverina)'!$H16*DASHBOARD!$C13*DASHBOARD!$D13*0.01)+('Fonterra (North Vic &amp; Riverina)'!$I16*DASHBOARD!$C13*DASHBOARD!$E13*0.01)+('Fonterra (North Vic &amp; Riverina)'!$J16*DASHBOARD!$C13*DASHBOARD!$D13*0.01)+('Fonterra (North Vic &amp; Riverina)'!$K16*DASHBOARD!$C13*DASHBOARD!$E13*0.01)+('Fonterra (North Vic &amp; Riverina)'!$L16*0.01*DASHBOARD!$C13*DASHBOARD!$D13)+('Fonterra (North Vic &amp; Riverina)'!$M32*DASHBOARD!$C13*DASHBOARD!$E13*0.01)</f>
        <v>61161.599999999999</v>
      </c>
      <c r="S50" s="13">
        <f>('Fonterra (North Vic &amp; Riverina)'!$H32*DASHBOARD!$C13*DASHBOARD!$D13*0.01)+('Fonterra (North Vic &amp; Riverina)'!$I32*DASHBOARD!$C13*DASHBOARD!$E13*0.01)+('Fonterra (North Vic &amp; Riverina)'!$J32*DASHBOARD!$C13*DASHBOARD!$D13*0.01)+('Fonterra (North Vic &amp; Riverina)'!$K32*DASHBOARD!$C13*DASHBOARD!$E13*0.01)+('Fonterra (North Vic &amp; Riverina)'!$L32*DASHBOARD!$C13*DASHBOARD!$D13*0.01)+('Fonterra (North Vic &amp; Riverina)'!$M32*DASHBOARD!$C13*DASHBOARD!$E13*0.01)</f>
        <v>62113.599999999999</v>
      </c>
      <c r="T50" s="13">
        <f>(Frestine!$D12*DASHBOARD!$C13*DASHBOARD!$D13*0.01)+(Frestine!$E12*DASHBOARD!$C13*DASHBOARD!$E13*0.01)</f>
        <v>57616</v>
      </c>
      <c r="U50" s="13">
        <f>DASHBOARD!$F13*Frestine!$D26</f>
        <v>57600.000000000007</v>
      </c>
      <c r="V50" s="13">
        <f>(GVC!$D12*DASHBOARD!$C13*DASHBOARD!$D13*0.01)+(GVC!$E12*DASHBOARD!$C13*DASHBOARD!$E13*0.01)</f>
        <v>64792</v>
      </c>
      <c r="W50" s="13">
        <f>('KY Valley (North Vic)'!$D12*DASHBOARD!$C13)+('KY Valley (North Vic)'!$E12*DASHBOARD!$C13*DASHBOARD!$D13*0.01)</f>
        <v>77000</v>
      </c>
      <c r="X50" s="13">
        <f>('Lactalis (Vic, Tas, &amp; Riverina)'!$C16*DASHBOARD!$C13*DASHBOARD!$D13*0.01)+('Lactalis (Vic, Tas, &amp; Riverina)'!$D16*DASHBOARD!$C13*DASHBOARD!$E13*0.01)+('Lactalis (Vic, Tas, &amp; Riverina)'!$E16*DASHBOARD!$C13*DASHBOARD!$D13*0.01)+('Lactalis (Vic, Tas, &amp; Riverina)'!$F16*DASHBOARD!$C13*DASHBOARD!$E13*0.01)</f>
        <v>72544</v>
      </c>
      <c r="Y50" s="13">
        <f>('Saputo (North Vic)'!$C12*DASHBOARD!$C13*DASHBOARD!$D13*0.01)+('Saputo (North Vic)'!$D12*DASHBOARD!$C13*DASHBOARD!$E13*0.01)+('Saputo (North Vic)'!$E12*DASHBOARD!$C13*DASHBOARD!$D13*0.01)+('Saputo (North Vic)'!$F12*DASHBOARD!$C13*DASHBOARD!$E13*0.01)+('Saputo (North Vic)'!$G12*DASHBOARD!$C13*DASHBOARD!$D13*0.01)+('Saputo (North Vic)'!$H12*DASHBOARD!$C13*DASHBOARD!$E13*0.01)</f>
        <v>62816</v>
      </c>
      <c r="Z50" s="13">
        <f>(DASHBOARD!$C13*DASHBOARD!$D13*0.01*'Saputo (North Vic)'!$C32)+(DASHBOARD!$C13*DASHBOARD!$E13*0.01*'Saputo (North Vic)'!$D32)</f>
        <v>57824</v>
      </c>
      <c r="AB50" s="39" t="s">
        <v>68</v>
      </c>
      <c r="AC50" s="13">
        <f>('Lactalis (QLD)'!$D12*DASHBOARD!$C13)+('Lactalis (QLD)'!$E12*DASHBOARD!$C13*DASHBOARD!$D13*0.01)+('Lactalis (QLD)'!$F12*DASHBOARD!$C13*DASHBOARD!$E13*0.01)+('Lactalis (QLD)'!$G12*DASHBOARD!$C13*DASHBOARD!$E13*0.01)+('Lactalis (QLD)'!$H12*DASHBOARD!$C13)</f>
        <v>86275.64</v>
      </c>
      <c r="AD50" s="13">
        <f>('Norco (North Region)'!$E13*DASHBOARD!$C13*DASHBOARD!$D13*0.01)+('Norco (North Region)'!$F13*DASHBOARD!$C13*DASHBOARD!$E13*0.01)+('Norco (North Region)'!$G13*DASHBOARD!$C13)+('Norco (North Region)'!$H13*DASHBOARD!$F13)+('Norco (North Region)'!$I13*DASHBOARD!$C13)+('Norco (North Region)'!$J13*DASHBOARD!$C13)-('Norco (North Region)'!$K13)</f>
        <v>85814</v>
      </c>
    </row>
    <row r="51" spans="3:30">
      <c r="C51" s="11"/>
      <c r="D51" s="39" t="s">
        <v>69</v>
      </c>
      <c r="E51" s="13">
        <f>(ACM!$D13*DASHBOARD!$D14*DASHBOARD!$C14*0.01)+(ACM!$E13*DASHBOARD!$E14*DASHBOARD!$C14*0.01)+(ACM!$F13*DASHBOARD!$C14)</f>
        <v>57564</v>
      </c>
      <c r="F51" s="13">
        <f>(ADFC!$C13*0.01*DASHBOARD!$C14*DASHBOARD!$D14)+(ADFC!$D13*0.01*DASHBOARD!$C14*DASHBOARD!$E14)+(ADFC!$E13*DASHBOARD!$C14*DASHBOARD!$D14*0.01)+(ADFC!$F13*DASHBOARD!$E14*DASHBOARD!$C14*0.01)</f>
        <v>62656</v>
      </c>
      <c r="G51" s="13">
        <f>('Bega (North Vic &amp; Riverina)'!$D13*DASHBOARD!$C14*DASHBOARD!$D14*0.01)+('Bega (North Vic &amp; Riverina)'!$E13*DASHBOARD!$C14*DASHBOARD!$E14*0.01)+('Bega (North Vic &amp; Riverina)'!$F13*DASHBOARD!$C14*DASHBOARD!$D14*0.01)+('Bega (North Vic &amp; Riverina)'!$G13*DASHBOARD!$C14*DASHBOARD!$E14*0.01)-('Bega (North Vic &amp; Riverina)'!$H13)</f>
        <v>56320</v>
      </c>
      <c r="H51" s="13">
        <f>(DASHBOARD!$C14*DASHBOARD!$D14*0.01*'Bega (North Vic &amp; Riverina)'!$D29)+('Bega (North Vic &amp; Riverina)'!$E29*DASHBOARD!$C14*DASHBOARD!$E14*0.01)</f>
        <v>57033.599999999999</v>
      </c>
      <c r="I51" s="13">
        <f>('Bega (North Vic &amp; Riverina)'!$D44*DASHBOARD!$C14*DASHBOARD!$D14*0.01)+(DASHBOARD!$C14*DASHBOARD!$E14*0.01*'Bega (North Vic &amp; Riverina)'!$E44)</f>
        <v>57240</v>
      </c>
      <c r="J51" s="13">
        <f>(Bulla!$C12*DASHBOARD!$F14)</f>
        <v>62280.000000000007</v>
      </c>
      <c r="K51" s="13">
        <f>(Bulla!$C26*DASHBOARD!$C14*DASHBOARD!$D14*0.01)+(Bulla!$D26*DASHBOARD!$C14*DASHBOARD!$E14*0.01)</f>
        <v>62278.400000000001</v>
      </c>
      <c r="L51" s="13">
        <f>('Coles (Vic, Riverina, &amp; SE SA)'!$D14*DASHBOARD!$C14*DASHBOARD!$D14*0.01)+('Coles (Vic, Riverina, &amp; SE SA)'!$E14*DASHBOARD!$C14*DASHBOARD!$E14*0.01)-('Coles (Vic, Riverina, &amp; SE SA)'!$F14)</f>
        <v>75510</v>
      </c>
      <c r="M51" s="13">
        <f>('DFMC (Vic)'!$F14*DASHBOARD!$C14*DASHBOARD!$D14*0.01)+('DFMC (Vic)'!$G14*DASHBOARD!$C14*DASHBOARD!$E14*0.01)+('DFMC (Vic)'!$H14*DASHBOARD!$F14)</f>
        <v>59605.600000000006</v>
      </c>
      <c r="N51" s="13">
        <f>('DFMC (Vic)'!$F34*DASHBOARD!$C14*DASHBOARD!$D14*0.01)+('DFMC (Vic)'!$G34*DASHBOARD!$C14*DASHBOARD!$E14*0.01)+('DFMC (Vic)'!$H34*DASHBOARD!$F14)</f>
        <v>55191.200000000004</v>
      </c>
      <c r="O51" s="13">
        <f>('DFMC (Vic)'!$F48*DASHBOARD!$C14*DASHBOARD!$D14*0.01)+('DFMC (Vic)'!$G48*DASHBOARD!$C14*DASHBOARD!$E14*0.01)</f>
        <v>55190.400000000001</v>
      </c>
      <c r="P51" s="13">
        <f>('Riverina Fresh'!$C14*DASHBOARD!$C14*DASHBOARD!$D14*0.01)+('Riverina Fresh'!$D14*DASHBOARD!$E14*DASHBOARD!$C14*0.01)+('Riverina Fresh'!$E14*DASHBOARD!$C14*DASHBOARD!$D14*0.01)+('Riverina Fresh'!$F14*DASHBOARD!$C14*DASHBOARD!$E14*0.01)-('Riverina Fresh'!$H14*DASHBOARD!$C14)-('Riverina Fresh'!G14)</f>
        <v>57681.400000000009</v>
      </c>
      <c r="Q51" s="13">
        <f>(Noumi!$C13*DASHBOARD!$C14*DASHBOARD!$D14*0.01)+(Noumi!$D13*DASHBOARD!$C14*DASHBOARD!$E14*0.01)</f>
        <v>58312</v>
      </c>
      <c r="R51" s="13">
        <f>('Fonterra (North Vic &amp; Riverina)'!$H17*DASHBOARD!$C14*DASHBOARD!$D14*0.01)+('Fonterra (North Vic &amp; Riverina)'!$I17*DASHBOARD!$C14*DASHBOARD!$E14*0.01)+('Fonterra (North Vic &amp; Riverina)'!$J17*DASHBOARD!$C14*DASHBOARD!$D14*0.01)+('Fonterra (North Vic &amp; Riverina)'!$K17*DASHBOARD!$C14*DASHBOARD!$E14*0.01)+('Fonterra (North Vic &amp; Riverina)'!$L17*0.01*DASHBOARD!$C14*DASHBOARD!$D14)+('Fonterra (North Vic &amp; Riverina)'!$M33*DASHBOARD!$C14*DASHBOARD!$E14*0.01)</f>
        <v>61161.599999999999</v>
      </c>
      <c r="S51" s="13">
        <f>('Fonterra (North Vic &amp; Riverina)'!$H33*DASHBOARD!$C14*DASHBOARD!$D14*0.01)+('Fonterra (North Vic &amp; Riverina)'!$I33*DASHBOARD!$C14*DASHBOARD!$E14*0.01)+('Fonterra (North Vic &amp; Riverina)'!$J33*DASHBOARD!$C14*DASHBOARD!$D14*0.01)+('Fonterra (North Vic &amp; Riverina)'!$K33*DASHBOARD!$C14*DASHBOARD!$E14*0.01)+('Fonterra (North Vic &amp; Riverina)'!$L33*DASHBOARD!$C14*DASHBOARD!$D14*0.01)+('Fonterra (North Vic &amp; Riverina)'!$M33*DASHBOARD!$C14*DASHBOARD!$E14*0.01)</f>
        <v>63457.599999999999</v>
      </c>
      <c r="T51" s="13">
        <f>(Frestine!$D13*DASHBOARD!$C14*DASHBOARD!$D14*0.01)+(Frestine!$E13*DASHBOARD!$C14*DASHBOARD!$E14*0.01)</f>
        <v>57616</v>
      </c>
      <c r="U51" s="13">
        <f>DASHBOARD!$F14*Frestine!$D27</f>
        <v>57600.000000000007</v>
      </c>
      <c r="V51" s="13">
        <f>(GVC!$D13*DASHBOARD!$C14*DASHBOARD!$D14*0.01)+(GVC!$E13*DASHBOARD!$C14*DASHBOARD!$E14*0.01)</f>
        <v>64792</v>
      </c>
      <c r="W51" s="13">
        <f>('KY Valley (North Vic)'!$D13*DASHBOARD!$C14)+('KY Valley (North Vic)'!$E13*DASHBOARD!$C14*DASHBOARD!$D14*0.01)</f>
        <v>77000</v>
      </c>
      <c r="X51" s="13">
        <f>('Lactalis (Vic, Tas, &amp; Riverina)'!$C17*DASHBOARD!$C14*DASHBOARD!$D14*0.01)+('Lactalis (Vic, Tas, &amp; Riverina)'!$D17*DASHBOARD!$C14*DASHBOARD!$E14*0.01)+('Lactalis (Vic, Tas, &amp; Riverina)'!$E17*DASHBOARD!$C14*DASHBOARD!$D14*0.01)+('Lactalis (Vic, Tas, &amp; Riverina)'!$F17*DASHBOARD!$C14*DASHBOARD!$E14*0.01)</f>
        <v>72544</v>
      </c>
      <c r="Y51" s="13">
        <f>('Saputo (North Vic)'!$C13*DASHBOARD!$C14*DASHBOARD!$D14*0.01)+('Saputo (North Vic)'!$D13*DASHBOARD!$C14*DASHBOARD!$E14*0.01)+('Saputo (North Vic)'!$E13*DASHBOARD!$C14*DASHBOARD!$D14*0.01)+('Saputo (North Vic)'!$F13*DASHBOARD!$C14*DASHBOARD!$E14*0.01)+('Saputo (North Vic)'!$G13*DASHBOARD!$C14*DASHBOARD!$D14*0.01)+('Saputo (North Vic)'!$H13*DASHBOARD!$C14*DASHBOARD!$E14*0.01)</f>
        <v>62816</v>
      </c>
      <c r="Z51" s="13">
        <f>(DASHBOARD!$C14*DASHBOARD!$D14*0.01*'Saputo (North Vic)'!$C33)+(DASHBOARD!$C14*DASHBOARD!$E14*0.01*'Saputo (North Vic)'!$D33)</f>
        <v>57824</v>
      </c>
      <c r="AB51" s="39" t="s">
        <v>69</v>
      </c>
      <c r="AC51" s="13">
        <f>('Lactalis (QLD)'!$D13*DASHBOARD!$C14)+('Lactalis (QLD)'!$E13*DASHBOARD!$C14*DASHBOARD!$D14*0.01)+('Lactalis (QLD)'!$F13*DASHBOARD!$C14*DASHBOARD!$E14*0.01)+('Lactalis (QLD)'!$G13*DASHBOARD!$C14*DASHBOARD!$E14*0.01)+('Lactalis (QLD)'!$H13*DASHBOARD!$C14)</f>
        <v>86275.64</v>
      </c>
      <c r="AD51" s="13">
        <f>('Norco (North Region)'!$E14*DASHBOARD!$C14*DASHBOARD!$D14*0.01)+('Norco (North Region)'!$F14*DASHBOARD!$C14*DASHBOARD!$E14*0.01)+('Norco (North Region)'!$G14*DASHBOARD!$C14)+('Norco (North Region)'!$H14*DASHBOARD!$F14)+('Norco (North Region)'!$I14*DASHBOARD!$C14)+('Norco (North Region)'!$J14*DASHBOARD!$C14)-('Norco (North Region)'!$K14)</f>
        <v>85864</v>
      </c>
    </row>
    <row r="52" spans="3:30">
      <c r="C52" s="11"/>
      <c r="D52" s="39" t="s">
        <v>24</v>
      </c>
      <c r="E52" s="13">
        <f>(ACM!$D14*DASHBOARD!$D15*DASHBOARD!$C15*0.01)+(ACM!$E14*DASHBOARD!$E15*DASHBOARD!$C15*0.01)+(ACM!$F14*DASHBOARD!$C15)</f>
        <v>57564</v>
      </c>
      <c r="F52" s="13">
        <f>(ADFC!$C14*0.01*DASHBOARD!$C15*DASHBOARD!$D15)+(ADFC!$D14*0.01*DASHBOARD!$C15*DASHBOARD!$E15)+(ADFC!$E14*DASHBOARD!$C15*DASHBOARD!$D15*0.01)+(ADFC!$F14*DASHBOARD!$E15*DASHBOARD!$C15*0.01)</f>
        <v>62656</v>
      </c>
      <c r="G52" s="13">
        <f>('Bega (North Vic &amp; Riverina)'!$D14*DASHBOARD!$C15*DASHBOARD!$D15*0.01)+('Bega (North Vic &amp; Riverina)'!$E14*DASHBOARD!$C15*DASHBOARD!$E15*0.01)+('Bega (North Vic &amp; Riverina)'!$F14*DASHBOARD!$C15*DASHBOARD!$D15*0.01)+('Bega (North Vic &amp; Riverina)'!$G14*DASHBOARD!$C15*DASHBOARD!$E15*0.01)-('Bega (North Vic &amp; Riverina)'!$H14)</f>
        <v>56312</v>
      </c>
      <c r="H52" s="13">
        <f>(DASHBOARD!$C15*DASHBOARD!$D15*0.01*'Bega (North Vic &amp; Riverina)'!$D30)+('Bega (North Vic &amp; Riverina)'!$E30*DASHBOARD!$C15*DASHBOARD!$E15*0.01)</f>
        <v>57033.599999999999</v>
      </c>
      <c r="I52" s="13">
        <f>('Bega (North Vic &amp; Riverina)'!$D45*DASHBOARD!$C15*DASHBOARD!$D15*0.01)+(DASHBOARD!$C15*DASHBOARD!$E15*0.01*'Bega (North Vic &amp; Riverina)'!$E45)</f>
        <v>57240</v>
      </c>
      <c r="J52" s="13">
        <f>(Bulla!$C13*DASHBOARD!$F15)</f>
        <v>62280.000000000007</v>
      </c>
      <c r="K52" s="13">
        <f>(Bulla!$C27*DASHBOARD!$C15*DASHBOARD!$D15*0.01)+(Bulla!$D27*DASHBOARD!$C15*DASHBOARD!$E15*0.01)</f>
        <v>62278.400000000001</v>
      </c>
      <c r="L52" s="13">
        <f>('Coles (Vic, Riverina, &amp; SE SA)'!$D15*DASHBOARD!$C15*DASHBOARD!$D15*0.01)+('Coles (Vic, Riverina, &amp; SE SA)'!$E15*DASHBOARD!$C15*DASHBOARD!$E15*0.01)-('Coles (Vic, Riverina, &amp; SE SA)'!$F15)</f>
        <v>75435</v>
      </c>
      <c r="M52" s="13">
        <f>('DFMC (Vic)'!$F15*DASHBOARD!$C15*DASHBOARD!$D15*0.01)+('DFMC (Vic)'!$G15*DASHBOARD!$C15*DASHBOARD!$E15*0.01)+('DFMC (Vic)'!$H15*DASHBOARD!$F15)</f>
        <v>59957.600000000006</v>
      </c>
      <c r="N52" s="13">
        <f>('DFMC (Vic)'!$F35*DASHBOARD!$C15*DASHBOARD!$D15*0.01)+('DFMC (Vic)'!$G35*DASHBOARD!$C15*DASHBOARD!$E15*0.01)+('DFMC (Vic)'!$H35*DASHBOARD!$F15)</f>
        <v>55191.200000000004</v>
      </c>
      <c r="O52" s="13">
        <f>('DFMC (Vic)'!$F49*DASHBOARD!$C15*DASHBOARD!$D15*0.01)+('DFMC (Vic)'!$G49*DASHBOARD!$C15*DASHBOARD!$E15*0.01)</f>
        <v>55190.400000000001</v>
      </c>
      <c r="P52" s="13">
        <f>('Riverina Fresh'!$C15*DASHBOARD!$C15*DASHBOARD!$D15*0.01)+('Riverina Fresh'!$D15*DASHBOARD!$E15*DASHBOARD!$C15*0.01)+('Riverina Fresh'!$E15*DASHBOARD!$C15*DASHBOARD!$D15*0.01)+('Riverina Fresh'!$F15*DASHBOARD!$C15*DASHBOARD!$E15*0.01)-('Riverina Fresh'!$H15*DASHBOARD!$C15)-('Riverina Fresh'!G15)</f>
        <v>57669.98000000001</v>
      </c>
      <c r="Q52" s="13">
        <f>(Noumi!$C14*DASHBOARD!$C15*DASHBOARD!$D15*0.01)+(Noumi!$D14*DASHBOARD!$C15*DASHBOARD!$E15*0.01)</f>
        <v>58312</v>
      </c>
      <c r="R52" s="13">
        <f>('Fonterra (North Vic &amp; Riverina)'!$H18*DASHBOARD!$C15*DASHBOARD!$D15*0.01)+('Fonterra (North Vic &amp; Riverina)'!$I18*DASHBOARD!$C15*DASHBOARD!$E15*0.01)+('Fonterra (North Vic &amp; Riverina)'!$J18*DASHBOARD!$C15*DASHBOARD!$D15*0.01)+('Fonterra (North Vic &amp; Riverina)'!$K18*DASHBOARD!$C15*DASHBOARD!$E15*0.01)+('Fonterra (North Vic &amp; Riverina)'!$L18*0.01*DASHBOARD!$C15*DASHBOARD!$D15)+('Fonterra (North Vic &amp; Riverina)'!$M34*DASHBOARD!$C15*DASHBOARD!$E15*0.01)</f>
        <v>61161.599999999999</v>
      </c>
      <c r="S52" s="13">
        <f>('Fonterra (North Vic &amp; Riverina)'!$H34*DASHBOARD!$C15*DASHBOARD!$D15*0.01)+('Fonterra (North Vic &amp; Riverina)'!$I34*DASHBOARD!$C15*DASHBOARD!$E15*0.01)+('Fonterra (North Vic &amp; Riverina)'!$J34*DASHBOARD!$C15*DASHBOARD!$D15*0.01)+('Fonterra (North Vic &amp; Riverina)'!$K34*DASHBOARD!$C15*DASHBOARD!$E15*0.01)+('Fonterra (North Vic &amp; Riverina)'!$L34*DASHBOARD!$C15*DASHBOARD!$D15*0.01)+('Fonterra (North Vic &amp; Riverina)'!$M34*DASHBOARD!$C15*DASHBOARD!$E15*0.01)</f>
        <v>64305.599999999999</v>
      </c>
      <c r="T52" s="13">
        <f>(Frestine!$D14*DASHBOARD!$C15*DASHBOARD!$D15*0.01)+(Frestine!$E14*DASHBOARD!$C15*DASHBOARD!$E15*0.01)</f>
        <v>57616</v>
      </c>
      <c r="U52" s="13">
        <f>DASHBOARD!$F15*Frestine!$D28</f>
        <v>57600.000000000007</v>
      </c>
      <c r="V52" s="13">
        <f>(GVC!$D14*DASHBOARD!$C15*DASHBOARD!$D15*0.01)+(GVC!$E14*DASHBOARD!$C15*DASHBOARD!$E15*0.01)</f>
        <v>64792</v>
      </c>
      <c r="W52" s="13">
        <f>('KY Valley (North Vic)'!$D14*DASHBOARD!$C15)+('KY Valley (North Vic)'!$E14*DASHBOARD!$C15*DASHBOARD!$D15*0.01)</f>
        <v>73100</v>
      </c>
      <c r="X52" s="13">
        <f>('Lactalis (Vic, Tas, &amp; Riverina)'!$C18*DASHBOARD!$C15*DASHBOARD!$D15*0.01)+('Lactalis (Vic, Tas, &amp; Riverina)'!$D18*DASHBOARD!$C15*DASHBOARD!$E15*0.01)+('Lactalis (Vic, Tas, &amp; Riverina)'!$E18*DASHBOARD!$C15*DASHBOARD!$D15*0.01)+('Lactalis (Vic, Tas, &amp; Riverina)'!$F18*DASHBOARD!$C15*DASHBOARD!$E15*0.01)</f>
        <v>72544</v>
      </c>
      <c r="Y52" s="13">
        <f>('Saputo (North Vic)'!$C14*DASHBOARD!$C15*DASHBOARD!$D15*0.01)+('Saputo (North Vic)'!$D14*DASHBOARD!$C15*DASHBOARD!$E15*0.01)+('Saputo (North Vic)'!$E14*DASHBOARD!$C15*DASHBOARD!$D15*0.01)+('Saputo (North Vic)'!$F14*DASHBOARD!$C15*DASHBOARD!$E15*0.01)+('Saputo (North Vic)'!$G14*DASHBOARD!$C15*DASHBOARD!$D15*0.01)+('Saputo (North Vic)'!$H14*DASHBOARD!$C15*DASHBOARD!$E15*0.01)</f>
        <v>62816</v>
      </c>
      <c r="Z52" s="13">
        <f>(DASHBOARD!$C15*DASHBOARD!$D15*0.01*'Saputo (North Vic)'!$C34)+(DASHBOARD!$C15*DASHBOARD!$E15*0.01*'Saputo (North Vic)'!$D34)</f>
        <v>57824</v>
      </c>
      <c r="AB52" s="39" t="s">
        <v>24</v>
      </c>
      <c r="AC52" s="13">
        <f>('Lactalis (QLD)'!$D14*DASHBOARD!$C15)+('Lactalis (QLD)'!$E14*DASHBOARD!$C15*DASHBOARD!$D15*0.01)+('Lactalis (QLD)'!$F14*DASHBOARD!$C15*DASHBOARD!$E15*0.01)+('Lactalis (QLD)'!$G14*DASHBOARD!$C15*DASHBOARD!$E15*0.01)+('Lactalis (QLD)'!$H14*DASHBOARD!$C15)</f>
        <v>86275.64</v>
      </c>
      <c r="AD52" s="13">
        <f>('Norco (North Region)'!$E15*DASHBOARD!$C15*DASHBOARD!$D15*0.01)+('Norco (North Region)'!$F15*DASHBOARD!$C15*DASHBOARD!$E15*0.01)+('Norco (North Region)'!$G15*DASHBOARD!$C15)+('Norco (North Region)'!$H15*DASHBOARD!$F15)+('Norco (North Region)'!$I15*DASHBOARD!$C15)+('Norco (North Region)'!$J15*DASHBOARD!$C15)-('Norco (North Region)'!$K15)</f>
        <v>85814</v>
      </c>
    </row>
    <row r="53" spans="3:30">
      <c r="C53" s="11"/>
      <c r="D53" s="39" t="s">
        <v>70</v>
      </c>
      <c r="E53" s="13">
        <f>(ACM!$D15*DASHBOARD!$D16*DASHBOARD!$C16*0.01)+(ACM!$E15*DASHBOARD!$E16*DASHBOARD!$C16*0.01)+(ACM!$F15*DASHBOARD!$C16)</f>
        <v>57564</v>
      </c>
      <c r="F53" s="13">
        <f>(ADFC!$C15*0.01*DASHBOARD!$C16*DASHBOARD!$D16)+(ADFC!$D15*0.01*DASHBOARD!$C16*DASHBOARD!$E16)+(ADFC!$E15*DASHBOARD!$C16*DASHBOARD!$D16*0.01)+(ADFC!$F15*DASHBOARD!$E16*DASHBOARD!$C16*0.01)</f>
        <v>62656</v>
      </c>
      <c r="G53" s="13">
        <f>('Bega (North Vic &amp; Riverina)'!$D15*DASHBOARD!$C16*DASHBOARD!$D16*0.01)+('Bega (North Vic &amp; Riverina)'!$E15*DASHBOARD!$C16*DASHBOARD!$E16*0.01)+('Bega (North Vic &amp; Riverina)'!$F15*DASHBOARD!$C16*DASHBOARD!$D16*0.01)+('Bega (North Vic &amp; Riverina)'!$G15*DASHBOARD!$C16*DASHBOARD!$E16*0.01)-('Bega (North Vic &amp; Riverina)'!$H15)</f>
        <v>56312</v>
      </c>
      <c r="H53" s="13">
        <f>(DASHBOARD!$C16*DASHBOARD!$D16*0.01*'Bega (North Vic &amp; Riverina)'!$D31)+('Bega (North Vic &amp; Riverina)'!$E31*DASHBOARD!$C16*DASHBOARD!$E16*0.01)</f>
        <v>57033.599999999999</v>
      </c>
      <c r="I53" s="13">
        <f>('Bega (North Vic &amp; Riverina)'!$D46*DASHBOARD!$C16*DASHBOARD!$D16*0.01)+(DASHBOARD!$C16*DASHBOARD!$E16*0.01*'Bega (North Vic &amp; Riverina)'!$E46)</f>
        <v>57240</v>
      </c>
      <c r="J53" s="13">
        <f>(Bulla!$C14*DASHBOARD!$F16)</f>
        <v>62280.000000000007</v>
      </c>
      <c r="K53" s="13">
        <f>(Bulla!$C28*DASHBOARD!$C16*DASHBOARD!$D16*0.01)+(Bulla!$D28*DASHBOARD!$C16*DASHBOARD!$E16*0.01)</f>
        <v>62278.400000000001</v>
      </c>
      <c r="L53" s="13">
        <f>('Coles (Vic, Riverina, &amp; SE SA)'!$D16*DASHBOARD!$C16*DASHBOARD!$D16*0.01)+('Coles (Vic, Riverina, &amp; SE SA)'!$E16*DASHBOARD!$C16*DASHBOARD!$E16*0.01)-('Coles (Vic, Riverina, &amp; SE SA)'!$F16)</f>
        <v>75435</v>
      </c>
      <c r="M53" s="13">
        <f>('DFMC (Vic)'!$F16*DASHBOARD!$C16*DASHBOARD!$D16*0.01)+('DFMC (Vic)'!$G16*DASHBOARD!$C16*DASHBOARD!$E16*0.01)+('DFMC (Vic)'!$H16*DASHBOARD!$F16)</f>
        <v>60657.600000000006</v>
      </c>
      <c r="N53" s="13">
        <f>('DFMC (Vic)'!$F36*DASHBOARD!$C16*DASHBOARD!$D16*0.01)+('DFMC (Vic)'!$G36*DASHBOARD!$C16*DASHBOARD!$E16*0.01)+('DFMC (Vic)'!$H36*DASHBOARD!$F16)</f>
        <v>55191.200000000004</v>
      </c>
      <c r="O53" s="13">
        <f>('DFMC (Vic)'!$F50*DASHBOARD!$C16*DASHBOARD!$D16*0.01)+('DFMC (Vic)'!$G50*DASHBOARD!$C16*DASHBOARD!$E16*0.01)</f>
        <v>55190.400000000001</v>
      </c>
      <c r="P53" s="13">
        <f>('Riverina Fresh'!$C16*DASHBOARD!$C16*DASHBOARD!$D16*0.01)+('Riverina Fresh'!$D16*DASHBOARD!$E16*DASHBOARD!$C16*0.01)+('Riverina Fresh'!$E16*DASHBOARD!$C16*DASHBOARD!$D16*0.01)+('Riverina Fresh'!$F16*DASHBOARD!$C16*DASHBOARD!$E16*0.01)-('Riverina Fresh'!$H16*DASHBOARD!$C16)-('Riverina Fresh'!G16)</f>
        <v>57669.98000000001</v>
      </c>
      <c r="Q53" s="13">
        <f>(Noumi!$C15*DASHBOARD!$C16*DASHBOARD!$D16*0.01)+(Noumi!$D15*DASHBOARD!$C16*DASHBOARD!$E16*0.01)</f>
        <v>58312</v>
      </c>
      <c r="R53" s="13">
        <f>('Fonterra (North Vic &amp; Riverina)'!$H19*DASHBOARD!$C16*DASHBOARD!$D16*0.01)+('Fonterra (North Vic &amp; Riverina)'!$I19*DASHBOARD!$C16*DASHBOARD!$E16*0.01)+('Fonterra (North Vic &amp; Riverina)'!$J19*DASHBOARD!$C16*DASHBOARD!$D16*0.01)+('Fonterra (North Vic &amp; Riverina)'!$K19*DASHBOARD!$C16*DASHBOARD!$E16*0.01)+('Fonterra (North Vic &amp; Riverina)'!$L19*0.01*DASHBOARD!$C16*DASHBOARD!$D16)+('Fonterra (North Vic &amp; Riverina)'!$M35*DASHBOARD!$C16*DASHBOARD!$E16*0.01)</f>
        <v>61161.599999999999</v>
      </c>
      <c r="S53" s="13">
        <f>('Fonterra (North Vic &amp; Riverina)'!$H35*DASHBOARD!$C16*DASHBOARD!$D16*0.01)+('Fonterra (North Vic &amp; Riverina)'!$I35*DASHBOARD!$C16*DASHBOARD!$E16*0.01)+('Fonterra (North Vic &amp; Riverina)'!$J35*DASHBOARD!$C16*DASHBOARD!$D16*0.01)+('Fonterra (North Vic &amp; Riverina)'!$K35*DASHBOARD!$C16*DASHBOARD!$E16*0.01)+('Fonterra (North Vic &amp; Riverina)'!$L35*DASHBOARD!$C16*DASHBOARD!$D16*0.01)+('Fonterra (North Vic &amp; Riverina)'!$M35*DASHBOARD!$C16*DASHBOARD!$E16*0.01)</f>
        <v>65681.600000000006</v>
      </c>
      <c r="T53" s="13">
        <f>(Frestine!$D15*DASHBOARD!$C16*DASHBOARD!$D16*0.01)+(Frestine!$E15*DASHBOARD!$C16*DASHBOARD!$E16*0.01)</f>
        <v>57616</v>
      </c>
      <c r="U53" s="13">
        <f>DASHBOARD!$F16*Frestine!$D29</f>
        <v>57600.000000000007</v>
      </c>
      <c r="V53" s="13">
        <f>(GVC!$D15*DASHBOARD!$C16*DASHBOARD!$D16*0.01)+(GVC!$E15*DASHBOARD!$C16*DASHBOARD!$E16*0.01)</f>
        <v>64792</v>
      </c>
      <c r="W53" s="13">
        <f>('KY Valley (North Vic)'!$D15*DASHBOARD!$C16)+('KY Valley (North Vic)'!$E15*DASHBOARD!$C16*DASHBOARD!$D16*0.01)</f>
        <v>70000</v>
      </c>
      <c r="X53" s="13">
        <f>('Lactalis (Vic, Tas, &amp; Riverina)'!$C19*DASHBOARD!$C16*DASHBOARD!$D16*0.01)+('Lactalis (Vic, Tas, &amp; Riverina)'!$D19*DASHBOARD!$C16*DASHBOARD!$E16*0.01)+('Lactalis (Vic, Tas, &amp; Riverina)'!$E19*DASHBOARD!$C16*DASHBOARD!$D16*0.01)+('Lactalis (Vic, Tas, &amp; Riverina)'!$F19*DASHBOARD!$C16*DASHBOARD!$E16*0.01)</f>
        <v>72544</v>
      </c>
      <c r="Y53" s="13">
        <f>('Saputo (North Vic)'!$C15*DASHBOARD!$C16*DASHBOARD!$D16*0.01)+('Saputo (North Vic)'!$D15*DASHBOARD!$C16*DASHBOARD!$E16*0.01)+('Saputo (North Vic)'!$E15*DASHBOARD!$C16*DASHBOARD!$D16*0.01)+('Saputo (North Vic)'!$F15*DASHBOARD!$C16*DASHBOARD!$E16*0.01)+('Saputo (North Vic)'!$G15*DASHBOARD!$C16*DASHBOARD!$D16*0.01)+('Saputo (North Vic)'!$H15*DASHBOARD!$C16*DASHBOARD!$E16*0.01)</f>
        <v>62816</v>
      </c>
      <c r="Z53" s="13">
        <f>(DASHBOARD!$C16*DASHBOARD!$D16*0.01*'Saputo (North Vic)'!$C35)+(DASHBOARD!$C16*DASHBOARD!$E16*0.01*'Saputo (North Vic)'!$D35)</f>
        <v>57824</v>
      </c>
      <c r="AB53" s="39" t="s">
        <v>70</v>
      </c>
      <c r="AC53" s="13">
        <f>('Lactalis (QLD)'!$D15*DASHBOARD!$C16)+('Lactalis (QLD)'!$E15*DASHBOARD!$C16*DASHBOARD!$D16*0.01)+('Lactalis (QLD)'!$F15*DASHBOARD!$C16*DASHBOARD!$E16*0.01)+('Lactalis (QLD)'!$G15*DASHBOARD!$C16*DASHBOARD!$E16*0.01)+('Lactalis (QLD)'!$H15*DASHBOARD!$C16)</f>
        <v>86275.64</v>
      </c>
      <c r="AD53" s="13">
        <f>('Norco (North Region)'!$E16*DASHBOARD!$C16*DASHBOARD!$D16*0.01)+('Norco (North Region)'!$F16*DASHBOARD!$C16*DASHBOARD!$E16*0.01)+('Norco (North Region)'!$G16*DASHBOARD!$C16)+('Norco (North Region)'!$H16*DASHBOARD!$F16)+('Norco (North Region)'!$I16*DASHBOARD!$C16)+('Norco (North Region)'!$J16*DASHBOARD!$C16)-('Norco (North Region)'!$K16)</f>
        <v>83814</v>
      </c>
    </row>
    <row r="54" spans="3:30">
      <c r="C54" s="11"/>
      <c r="D54" s="11"/>
      <c r="E54" s="37"/>
      <c r="F54" s="7"/>
      <c r="G54" s="7"/>
      <c r="H54" s="7"/>
      <c r="I54" s="7"/>
      <c r="J54" s="7"/>
      <c r="K54" s="7"/>
      <c r="L54" s="9"/>
      <c r="M54" s="7"/>
      <c r="N54" s="7"/>
      <c r="O54" s="7"/>
      <c r="P54" s="9"/>
      <c r="Q54" s="7"/>
      <c r="R54" s="9"/>
      <c r="S54" s="9"/>
      <c r="T54" s="7"/>
      <c r="U54" s="7"/>
      <c r="V54" s="9"/>
      <c r="W54" s="7"/>
      <c r="X54" s="9"/>
      <c r="Y54" s="7"/>
      <c r="Z54" s="7"/>
      <c r="AB54" s="11"/>
      <c r="AC54" s="37"/>
      <c r="AD54" s="7"/>
    </row>
    <row r="55" spans="3:30">
      <c r="C55" s="12" t="s">
        <v>26</v>
      </c>
      <c r="D55" s="36"/>
      <c r="E55" s="38">
        <f>SUM(E42:E53)</f>
        <v>677832</v>
      </c>
      <c r="F55" s="38">
        <f t="shared" ref="F55:G55" si="13">SUM(F42:F53)</f>
        <v>708576</v>
      </c>
      <c r="G55" s="38">
        <f t="shared" si="13"/>
        <v>664809.60000000009</v>
      </c>
      <c r="H55" s="38">
        <f t="shared" ref="H55:I55" si="14">SUM(H42:H53)</f>
        <v>684403.19999999984</v>
      </c>
      <c r="I55" s="38">
        <f t="shared" si="14"/>
        <v>686880</v>
      </c>
      <c r="J55" s="38">
        <f>SUM(J42:J53)</f>
        <v>747360.00000000012</v>
      </c>
      <c r="K55" s="38">
        <f>SUM(K42:K53)</f>
        <v>747340.80000000016</v>
      </c>
      <c r="L55" s="38">
        <f>SUM(L42:L53)</f>
        <v>858534</v>
      </c>
      <c r="M55" s="38">
        <f>SUM(M42:M53)</f>
        <v>657171.20000000007</v>
      </c>
      <c r="N55" s="38">
        <f t="shared" ref="N55:O55" si="15">SUM(N42:N53)</f>
        <v>651302.39999999991</v>
      </c>
      <c r="O55" s="38">
        <f t="shared" si="15"/>
        <v>662284.80000000016</v>
      </c>
      <c r="P55" s="38">
        <f>SUM(P42:P53)</f>
        <v>656076.27999999991</v>
      </c>
      <c r="Q55" s="38">
        <f>SUM(Q42:Q53)</f>
        <v>699744</v>
      </c>
      <c r="R55" s="38">
        <f>SUM(R42:R53)</f>
        <v>713299.19999999984</v>
      </c>
      <c r="S55" s="38">
        <f>SUM(S42:S53)</f>
        <v>716819.19999999984</v>
      </c>
      <c r="T55" s="38">
        <f>SUM(T42:T53)</f>
        <v>691392</v>
      </c>
      <c r="U55" s="38">
        <f>SUM(U42:U53)</f>
        <v>691200.00000000012</v>
      </c>
      <c r="V55" s="38">
        <f>SUM(V42:V53)</f>
        <v>751728</v>
      </c>
      <c r="W55" s="38">
        <f>SUM(W42:W53)</f>
        <v>867200</v>
      </c>
      <c r="X55" s="38">
        <f>SUM(X42:X53)</f>
        <v>775920</v>
      </c>
      <c r="Y55" s="38">
        <f>SUM(Y42:Y53)</f>
        <v>712712</v>
      </c>
      <c r="Z55" s="38">
        <f>SUM(Z42:Z53)</f>
        <v>693888</v>
      </c>
      <c r="AB55" s="36"/>
      <c r="AC55" s="38">
        <f t="shared" ref="AC55:AD55" si="16">SUM(AC42:AC53)</f>
        <v>1008307.68</v>
      </c>
      <c r="AD55" s="38">
        <f t="shared" si="16"/>
        <v>959804</v>
      </c>
    </row>
    <row r="56" spans="3:30">
      <c r="D56" s="43" t="s">
        <v>71</v>
      </c>
      <c r="E56" s="42">
        <f>E55/DASHBOARD!$C$18</f>
        <v>0.56486000000000003</v>
      </c>
      <c r="F56" s="42">
        <f>F55/DASHBOARD!$C$18</f>
        <v>0.59048</v>
      </c>
      <c r="G56" s="42">
        <f>G55/DASHBOARD!$C$18</f>
        <v>0.55400800000000006</v>
      </c>
      <c r="H56" s="42">
        <f>H55/DASHBOARD!$C$18</f>
        <v>0.57033599999999984</v>
      </c>
      <c r="I56" s="42">
        <f>I55/DASHBOARD!$C$18</f>
        <v>0.57240000000000002</v>
      </c>
      <c r="J56" s="42">
        <f>J55/DASHBOARD!$C$18</f>
        <v>0.62280000000000013</v>
      </c>
      <c r="K56" s="42">
        <f>K55/DASHBOARD!$C$18</f>
        <v>0.62278400000000012</v>
      </c>
      <c r="L56" s="42">
        <f>L55/DASHBOARD!$C$18</f>
        <v>0.715445</v>
      </c>
      <c r="M56" s="42">
        <f>M55/DASHBOARD!$C$18</f>
        <v>0.54764266666666672</v>
      </c>
      <c r="N56" s="42">
        <f>N55/DASHBOARD!$C$18</f>
        <v>0.5427519999999999</v>
      </c>
      <c r="O56" s="42">
        <f>O55/DASHBOARD!$C$18</f>
        <v>0.55190400000000017</v>
      </c>
      <c r="P56" s="42">
        <f>P55/DASHBOARD!$C$18</f>
        <v>0.54673023333333326</v>
      </c>
      <c r="Q56" s="42">
        <f>Q55/DASHBOARD!$C$18</f>
        <v>0.58311999999999997</v>
      </c>
      <c r="R56" s="42">
        <f>R55/DASHBOARD!$C$18</f>
        <v>0.59441599999999983</v>
      </c>
      <c r="S56" s="42">
        <f>S55/DASHBOARD!$C$18</f>
        <v>0.59734933333333318</v>
      </c>
      <c r="T56" s="42">
        <f>T55/DASHBOARD!$C$18</f>
        <v>0.57616000000000001</v>
      </c>
      <c r="U56" s="42">
        <f>U55/DASHBOARD!$C$18</f>
        <v>0.57600000000000007</v>
      </c>
      <c r="V56" s="42">
        <f>V55/DASHBOARD!$C$18</f>
        <v>0.62644</v>
      </c>
      <c r="W56" s="42">
        <f>W55/DASHBOARD!$C$18</f>
        <v>0.72266666666666668</v>
      </c>
      <c r="X56" s="42">
        <f>X55/DASHBOARD!$C$18</f>
        <v>0.64659999999999995</v>
      </c>
      <c r="Y56" s="42">
        <f>Y55/DASHBOARD!$C$18</f>
        <v>0.59392666666666671</v>
      </c>
      <c r="Z56" s="42">
        <f>Z55/DASHBOARD!$C$18</f>
        <v>0.57823999999999998</v>
      </c>
      <c r="AB56" s="42"/>
      <c r="AC56" s="42">
        <f>AC55/DASHBOARD!$C$18</f>
        <v>0.84025640000000001</v>
      </c>
      <c r="AD56" s="42">
        <f>AD55/DASHBOARD!$C$18</f>
        <v>0.79983666666666664</v>
      </c>
    </row>
    <row r="57" spans="3:30">
      <c r="D57" s="43" t="s">
        <v>72</v>
      </c>
      <c r="E57" s="42">
        <f>E55/DASHBOARD!$F$18</f>
        <v>7.8452777777777767</v>
      </c>
      <c r="F57" s="42">
        <f>F55/DASHBOARD!$F$18</f>
        <v>8.2011111111111106</v>
      </c>
      <c r="G57" s="42">
        <f>G55/DASHBOARD!$F$18</f>
        <v>7.6945555555555556</v>
      </c>
      <c r="H57" s="42">
        <f>H55/DASHBOARD!$F$18</f>
        <v>7.9213333333333305</v>
      </c>
      <c r="I57" s="42">
        <f>I55/DASHBOARD!$F$18</f>
        <v>7.9499999999999984</v>
      </c>
      <c r="J57" s="42">
        <f>J55/DASHBOARD!$F$18</f>
        <v>8.65</v>
      </c>
      <c r="K57" s="42">
        <f>K55/DASHBOARD!$F$18</f>
        <v>8.6497777777777785</v>
      </c>
      <c r="L57" s="42">
        <f>L55/DASHBOARD!$F$18</f>
        <v>9.9367361111111094</v>
      </c>
      <c r="M57" s="42">
        <f>M55/DASHBOARD!$F$18</f>
        <v>7.6061481481481481</v>
      </c>
      <c r="N57" s="42">
        <f>N55/DASHBOARD!$F$18</f>
        <v>7.5382222222222195</v>
      </c>
      <c r="O57" s="42">
        <f>O55/DASHBOARD!$F$18</f>
        <v>7.6653333333333338</v>
      </c>
      <c r="P57" s="42">
        <f>P55/DASHBOARD!$F$18</f>
        <v>7.5934754629629611</v>
      </c>
      <c r="Q57" s="42">
        <f>Q55/DASHBOARD!$F$18</f>
        <v>8.0988888888888884</v>
      </c>
      <c r="R57" s="42">
        <f>R55/DASHBOARD!$F$18</f>
        <v>8.2557777777777748</v>
      </c>
      <c r="S57" s="42">
        <f>S55/DASHBOARD!$F$18</f>
        <v>8.296518518518516</v>
      </c>
      <c r="T57" s="42">
        <f>T55/DASHBOARD!$F$18</f>
        <v>8.0022222222222208</v>
      </c>
      <c r="U57" s="42">
        <f>U55/DASHBOARD!$F$18</f>
        <v>8</v>
      </c>
      <c r="V57" s="42">
        <f>V55/DASHBOARD!$F$18</f>
        <v>8.7005555555555549</v>
      </c>
      <c r="W57" s="42">
        <f>W55/DASHBOARD!$F$18</f>
        <v>10.037037037037035</v>
      </c>
      <c r="X57" s="42">
        <f>X55/DASHBOARD!$F$18</f>
        <v>8.9805555555555543</v>
      </c>
      <c r="Y57" s="42">
        <f>Y55/DASHBOARD!$F$18</f>
        <v>8.2489814814814792</v>
      </c>
      <c r="Z57" s="42">
        <f>Z55/DASHBOARD!$F$18</f>
        <v>8.0311111111111106</v>
      </c>
      <c r="AB57" s="42"/>
      <c r="AC57" s="42">
        <f>AC55/DASHBOARD!$F$18</f>
        <v>11.670227777777777</v>
      </c>
      <c r="AD57" s="42">
        <f>AD55/DASHBOARD!$F$18</f>
        <v>11.108842592592591</v>
      </c>
    </row>
    <row r="60" spans="3:30" ht="45.75">
      <c r="C60" s="17" t="s">
        <v>35</v>
      </c>
      <c r="D60" s="35" t="s">
        <v>127</v>
      </c>
      <c r="E60" s="10" t="s">
        <v>125</v>
      </c>
      <c r="F60" s="10" t="s">
        <v>128</v>
      </c>
      <c r="G60" s="10" t="s">
        <v>129</v>
      </c>
      <c r="H60" s="10" t="s">
        <v>130</v>
      </c>
      <c r="J60" s="35" t="s">
        <v>131</v>
      </c>
      <c r="K60" s="10" t="s">
        <v>132</v>
      </c>
      <c r="L60" s="10" t="s">
        <v>133</v>
      </c>
      <c r="M60" s="10" t="s">
        <v>134</v>
      </c>
      <c r="N60" s="10" t="s">
        <v>135</v>
      </c>
      <c r="O60" s="10" t="s">
        <v>107</v>
      </c>
      <c r="P60" s="10" t="s">
        <v>108</v>
      </c>
      <c r="Q60" s="10" t="s">
        <v>136</v>
      </c>
      <c r="R60" s="10" t="s">
        <v>137</v>
      </c>
      <c r="S60" s="10" t="s">
        <v>138</v>
      </c>
      <c r="T60" s="10" t="s">
        <v>139</v>
      </c>
      <c r="U60" s="10" t="s">
        <v>115</v>
      </c>
      <c r="V60" s="10" t="s">
        <v>116</v>
      </c>
      <c r="W60" s="131" t="s">
        <v>140</v>
      </c>
      <c r="X60" s="10" t="s">
        <v>141</v>
      </c>
      <c r="Y60" s="10" t="s">
        <v>142</v>
      </c>
      <c r="Z60" s="10" t="s">
        <v>128</v>
      </c>
      <c r="AA60" s="10" t="s">
        <v>143</v>
      </c>
      <c r="AB60" s="131" t="s">
        <v>144</v>
      </c>
      <c r="AC60" s="131" t="s">
        <v>145</v>
      </c>
    </row>
    <row r="61" spans="3:30">
      <c r="C61" s="11"/>
      <c r="D61" s="39" t="s">
        <v>60</v>
      </c>
      <c r="E61" s="13">
        <f>('Lactalis (QLD)'!$D4*DASHBOARD!$C5)+('Lactalis (QLD)'!$E4*DASHBOARD!$C5*DASHBOARD!$D5*0.01)+('Lactalis (QLD)'!$F4*DASHBOARD!$C5*DASHBOARD!$E5*0.01)+('Lactalis (QLD)'!$G4*DASHBOARD!$C5*DASHBOARD!$E5*0.01)+('Lactalis (QLD)'!$H4*DASHBOARD!$C5)</f>
        <v>81775.64</v>
      </c>
      <c r="F61" s="13">
        <f>('Lactalis (NSW)'!$C3*DASHBOARD!$C5)+('Lactalis (NSW)'!$D3*DASHBOARD!$C5)+('Lactalis (NSW)'!$E3*DASHBOARD!$C5)+('Lactalis (NSW)'!$F3*DASHBOARD!$C5*DASHBOARD!$D5*0.01)+('Lactalis (NSW)'!$G3*DASHBOARD!$C5*DASHBOARD!$E5*0.01)</f>
        <v>77343.69</v>
      </c>
      <c r="G61" s="13">
        <f>('Norco (South Region)'!$E5*DASHBOARD!$C5*DASHBOARD!$D5*0.01)+('Norco (South Region)'!$F5*DASHBOARD!$C5*DASHBOARD!$E5*0.01)+('Norco (South Region)'!$G5*DASHBOARD!$C5)+('Norco (South Region)'!$H5*DASHBOARD!$F5)+('Norco (South Region)'!$I5*DASHBOARD!$C5)+('Norco (South Region)'!$J5*DASHBOARD!$C5)-('Norco (South Region)'!$K5)</f>
        <v>72770</v>
      </c>
      <c r="H61" s="13">
        <f>('Saputo (NSW Metro)'!$C4*DASHBOARD!$C5*DASHBOARD!$D5*0.01)+('Saputo (NSW Metro)'!$D4*DASHBOARD!$C5*DASHBOARD!$E5*0.01)+('Saputo (NSW Metro)'!$E4*DASHBOARD!$C5*DASHBOARD!$D5*0.01)+('Saputo (NSW Metro)'!$F4*DASHBOARD!$C5*DASHBOARD!$E5*0.01)</f>
        <v>76856</v>
      </c>
      <c r="J61" s="39" t="s">
        <v>60</v>
      </c>
      <c r="K61" s="13">
        <f>('Bega (North Vic &amp; Riverina)'!$D4*DASHBOARD!$C5*DASHBOARD!$D5*0.01)+('Bega (North Vic &amp; Riverina)'!$E4*DASHBOARD!$C5*DASHBOARD!$E5*0.01)+('Bega (North Vic &amp; Riverina)'!$F4*DASHBOARD!$C5*DASHBOARD!$D5*0.01)+('Bega (North Vic &amp; Riverina)'!$G4*DASHBOARD!$C5*DASHBOARD!$E5*0.01)-('Bega (North Vic &amp; Riverina)'!$H4)</f>
        <v>56312</v>
      </c>
      <c r="L61" s="13">
        <f>(DASHBOARD!$C5*DASHBOARD!$D5*0.01*'Bega (North Vic &amp; Riverina)'!$D20)+('Bega (North Vic &amp; Riverina)'!$E20*DASHBOARD!$C5*DASHBOARD!$E5*0.01)</f>
        <v>57033.599999999999</v>
      </c>
      <c r="M61" s="13">
        <f>('Bega (North Vic &amp; Riverina)'!$D35*DASHBOARD!$C5*DASHBOARD!$D5*0.01)+(DASHBOARD!$C5*DASHBOARD!$E5*0.01*'Bega (North Vic &amp; Riverina)'!$E35)</f>
        <v>57240</v>
      </c>
      <c r="N61" s="13">
        <f>(ACM!$D4*DASHBOARD!$D5*DASHBOARD!$C5*0.01)+(ACM!$E4*DASHBOARD!$E5*DASHBOARD!$C5*0.01)+(ACM!$F4*DASHBOARD!$C5)</f>
        <v>57564</v>
      </c>
      <c r="O61" s="13">
        <f>(Bulla!$C3*DASHBOARD!$F5)</f>
        <v>62280.000000000007</v>
      </c>
      <c r="P61" s="13">
        <f>(Bulla!$C17*DASHBOARD!$C5*DASHBOARD!$D5*0.01)+(Bulla!$D17*DASHBOARD!$C5*DASHBOARD!$E5*0.01)</f>
        <v>62278.400000000001</v>
      </c>
      <c r="Q61" s="13">
        <f>('Coles (Vic, Riverina, &amp; SE SA)'!$D5*DASHBOARD!$C5*DASHBOARD!$D5*0.01)+('Coles (Vic, Riverina, &amp; SE SA)'!$E5*DASHBOARD!$C5*DASHBOARD!$E5*0.01)-('Coles (Vic, Riverina, &amp; SE SA)'!$F5)</f>
        <v>75435</v>
      </c>
      <c r="R61" s="13">
        <f>('DFMC (Vic)'!$F5*DASHBOARD!$C5*DASHBOARD!$D5*0.01)+('DFMC (Vic)'!$G5*DASHBOARD!$C5*DASHBOARD!$E5*0.01)+('DFMC (Vic)'!$H5*DASHBOARD!$F5)</f>
        <v>59429.600000000006</v>
      </c>
      <c r="S61" s="13">
        <f>('DFMC (Vic)'!$F25*DASHBOARD!$C5*DASHBOARD!$D5*0.01)+('DFMC (Vic)'!$G25*DASHBOARD!$C5*DASHBOARD!$E5*0.01)+('DFMC (Vic)'!$H25*DASHBOARD!$F5)</f>
        <v>55191.200000000004</v>
      </c>
      <c r="T61" s="13">
        <f>('DFMC (Vic)'!$F39*DASHBOARD!$C5*DASHBOARD!$D5*0.01)+('DFMC (Vic)'!$G39*DASHBOARD!$C5*DASHBOARD!$E5*0.01)</f>
        <v>55190.400000000001</v>
      </c>
      <c r="U61" s="13">
        <f>('Fonterra (North Vic &amp; Riverina)'!$H8*DASHBOARD!$C5*DASHBOARD!$D5*0.01)+('Fonterra (North Vic &amp; Riverina)'!$I8*DASHBOARD!$C5*DASHBOARD!$E5*0.01)+('Fonterra (North Vic &amp; Riverina)'!$J8*DASHBOARD!$C5*DASHBOARD!$D5*0.01)+('Fonterra (North Vic &amp; Riverina)'!$K8*DASHBOARD!$C5*DASHBOARD!$E5*0.01)+('Fonterra (North Vic &amp; Riverina)'!$L8*0.01*DASHBOARD!$C5*DASHBOARD!$D5)+('Fonterra (North Vic &amp; Riverina)'!$M24*DASHBOARD!$C5*DASHBOARD!$E5*0.01)</f>
        <v>61161.599999999999</v>
      </c>
      <c r="V61" s="13">
        <f>('Fonterra (North Vic &amp; Riverina)'!$H24*DASHBOARD!$C5*DASHBOARD!$D5*0.01)+('Fonterra (North Vic &amp; Riverina)'!$I24*DASHBOARD!$C5*DASHBOARD!$E5*0.01)+('Fonterra (North Vic &amp; Riverina)'!$J24*DASHBOARD!$C5*DASHBOARD!$D5*0.01)+('Fonterra (North Vic &amp; Riverina)'!$K24*DASHBOARD!$C5*DASHBOARD!$E5*0.01)+('Fonterra (North Vic &amp; Riverina)'!$L24*DASHBOARD!$C5*DASHBOARD!$D5*0.01)+('Fonterra (North Vic &amp; Riverina)'!$M24*DASHBOARD!$C5*DASHBOARD!$E5*0.01)</f>
        <v>62113.599999999999</v>
      </c>
      <c r="W61" s="13">
        <f>('Riverina Fresh'!$C5*DASHBOARD!$C5*DASHBOARD!$D5*0.01)+('Riverina Fresh'!$D5*DASHBOARD!$E5*DASHBOARD!$C5*0.01)+('Riverina Fresh'!$E5*DASHBOARD!$C5*DASHBOARD!$D5*0.01)+('Riverina Fresh'!$F5*DASHBOARD!$C5*DASHBOARD!$E5*0.01)-('Riverina Fresh'!$H5*DASHBOARD!$C5)-('Riverina Fresh'!G5)</f>
        <v>57669.98000000001</v>
      </c>
      <c r="X61" s="13">
        <f>('KY Valley (North Vic)'!$D4*DASHBOARD!$C5)+('KY Valley (North Vic)'!$E4*DASHBOARD!$C5*DASHBOARD!$D5*0.01)</f>
        <v>70000</v>
      </c>
      <c r="Y61" s="13">
        <f>('Lactalis (Vic, Tas, &amp; Riverina)'!$C8*DASHBOARD!$C5*DASHBOARD!$D5*0.01)+('Lactalis (Vic, Tas, &amp; Riverina)'!$D8*DASHBOARD!$C5*DASHBOARD!$E5*0.01)+('Lactalis (Vic, Tas, &amp; Riverina)'!$E8*DASHBOARD!$C5*DASHBOARD!$D5*0.01)+('Lactalis (Vic, Tas, &amp; Riverina)'!$F8*DASHBOARD!$C5*DASHBOARD!$E5*0.01)</f>
        <v>60120</v>
      </c>
      <c r="Z61" s="13">
        <f>('Lactalis (NSW)'!$C3*DASHBOARD!$C5)+('Lactalis (NSW)'!$D3*DASHBOARD!$C5)+('Lactalis (NSW)'!$E3*DASHBOARD!$C5)+('Lactalis (NSW)'!$F3*DASHBOARD!$C5*DASHBOARD!$D5*0.01)+('Lactalis (NSW)'!$G3*DASHBOARD!$C5*DASHBOARD!$E5*0.01)</f>
        <v>77343.69</v>
      </c>
      <c r="AA61" s="13">
        <f>(Noumi!$C4*DASHBOARD!$C5*DASHBOARD!$D5*0.01)+(Noumi!$D4*DASHBOARD!$C5*DASHBOARD!$E5*0.01)</f>
        <v>58312</v>
      </c>
      <c r="AB61" s="13">
        <f>('Saputo (North Vic)'!$C4*DASHBOARD!$C5*DASHBOARD!$D5*0.01)+('Saputo (North Vic)'!$D4*DASHBOARD!$C5*DASHBOARD!$E5*0.01)+('Saputo (North Vic)'!$E4*DASHBOARD!$C5*DASHBOARD!$D5*0.01)+('Saputo (North Vic)'!$F4*DASHBOARD!$C5*DASHBOARD!$E5*0.01)+('Saputo (North Vic)'!$G4*DASHBOARD!$C5*DASHBOARD!$D5*0.01)+('Saputo (North Vic)'!$H4*DASHBOARD!$C5*DASHBOARD!$E5*0.01)</f>
        <v>62816</v>
      </c>
      <c r="AC61" s="13">
        <f>(DASHBOARD!$C5*DASHBOARD!$D5*0.01*'Saputo (North Vic)'!$C24)+(DASHBOARD!$C5*DASHBOARD!$E5*0.01*'Saputo (North Vic)'!$D24)</f>
        <v>57824</v>
      </c>
    </row>
    <row r="62" spans="3:30">
      <c r="C62" s="11"/>
      <c r="D62" s="39" t="s">
        <v>61</v>
      </c>
      <c r="E62" s="13">
        <f>('Lactalis (QLD)'!$D5*DASHBOARD!$C6)+('Lactalis (QLD)'!$E5*DASHBOARD!$C6*DASHBOARD!$D6*0.01)+('Lactalis (QLD)'!$F5*DASHBOARD!$C6*DASHBOARD!$E6*0.01)+('Lactalis (QLD)'!$G5*DASHBOARD!$C6*DASHBOARD!$E6*0.01)+('Lactalis (QLD)'!$H5*DASHBOARD!$C6)</f>
        <v>81775.64</v>
      </c>
      <c r="F62" s="13">
        <f>('Lactalis (NSW)'!$C4*DASHBOARD!$C6)+('Lactalis (NSW)'!$D4*DASHBOARD!$C6)+('Lactalis (NSW)'!$E4*DASHBOARD!$C6)+('Lactalis (NSW)'!$F4*DASHBOARD!$C6*DASHBOARD!$D6*0.01)+('Lactalis (NSW)'!$G4*DASHBOARD!$C6*DASHBOARD!$E6*0.01)</f>
        <v>71343.69</v>
      </c>
      <c r="G62" s="13">
        <f>('Norco (South Region)'!$E6*DASHBOARD!$C6*DASHBOARD!$D6*0.01)+('Norco (South Region)'!$F6*DASHBOARD!$C6*DASHBOARD!$E6*0.01)+('Norco (South Region)'!$G6*DASHBOARD!$C6)+('Norco (South Region)'!$H6*DASHBOARD!$F6)+('Norco (South Region)'!$I6*DASHBOARD!$C6)+('Norco (South Region)'!$J6*DASHBOARD!$C6)-('Norco (South Region)'!$K6)</f>
        <v>72770</v>
      </c>
      <c r="H62" s="13">
        <f>('Saputo (NSW Metro)'!$C5*DASHBOARD!$C6*DASHBOARD!$D6*0.01)+('Saputo (NSW Metro)'!$D5*DASHBOARD!$C6*DASHBOARD!$E6*0.01)+('Saputo (NSW Metro)'!$E5*DASHBOARD!$C6*DASHBOARD!$D6*0.01)+('Saputo (NSW Metro)'!$F5*DASHBOARD!$C6*DASHBOARD!$E6*0.01)</f>
        <v>74048</v>
      </c>
      <c r="J62" s="39" t="s">
        <v>61</v>
      </c>
      <c r="K62" s="13">
        <f>('Bega (North Vic &amp; Riverina)'!$D5*DASHBOARD!$C6*DASHBOARD!$D6*0.01)+('Bega (North Vic &amp; Riverina)'!$E5*DASHBOARD!$C6*DASHBOARD!$E6*0.01)+('Bega (North Vic &amp; Riverina)'!$F5*DASHBOARD!$C6*DASHBOARD!$D6*0.01)+('Bega (North Vic &amp; Riverina)'!$G5*DASHBOARD!$C6*DASHBOARD!$E6*0.01)-('Bega (North Vic &amp; Riverina)'!$H5)</f>
        <v>56312</v>
      </c>
      <c r="L62" s="13">
        <f>(DASHBOARD!$C6*DASHBOARD!$D6*0.01*'Bega (North Vic &amp; Riverina)'!$D21)+('Bega (North Vic &amp; Riverina)'!$E21*DASHBOARD!$C6*DASHBOARD!$E6*0.01)</f>
        <v>57033.599999999999</v>
      </c>
      <c r="M62" s="13">
        <f>('Bega (North Vic &amp; Riverina)'!$D36*DASHBOARD!$C6*DASHBOARD!$D6*0.01)+(DASHBOARD!$C6*DASHBOARD!$E6*0.01*'Bega (North Vic &amp; Riverina)'!$E36)</f>
        <v>57240</v>
      </c>
      <c r="N62" s="13">
        <f>(ACM!$D5*DASHBOARD!$D6*DASHBOARD!$C6*0.01)+(ACM!$E5*DASHBOARD!$E6*DASHBOARD!$C6*0.01)+(ACM!$F5*DASHBOARD!$C6)</f>
        <v>57564</v>
      </c>
      <c r="O62" s="13">
        <f>(Bulla!$C4*DASHBOARD!$F6)</f>
        <v>62280.000000000007</v>
      </c>
      <c r="P62" s="13">
        <f>(Bulla!$C18*DASHBOARD!$C6*DASHBOARD!$D6*0.01)+(Bulla!$D18*DASHBOARD!$C6*DASHBOARD!$E6*0.01)</f>
        <v>62278.400000000001</v>
      </c>
      <c r="Q62" s="13">
        <f>('Coles (Vic, Riverina, &amp; SE SA)'!$D6*DASHBOARD!$C6*DASHBOARD!$D6*0.01)+('Coles (Vic, Riverina, &amp; SE SA)'!$E6*DASHBOARD!$C6*DASHBOARD!$E6*0.01)-('Coles (Vic, Riverina, &amp; SE SA)'!$F6)</f>
        <v>75435</v>
      </c>
      <c r="R62" s="13">
        <f>('DFMC (Vic)'!$F6*DASHBOARD!$C6*DASHBOARD!$D6*0.01)+('DFMC (Vic)'!$G6*DASHBOARD!$C6*DASHBOARD!$E6*0.01)+('DFMC (Vic)'!$H6*DASHBOARD!$F6)</f>
        <v>53111.199999999997</v>
      </c>
      <c r="S62" s="13">
        <f>('DFMC (Vic)'!$F26*DASHBOARD!$C6*DASHBOARD!$D6*0.01)+('DFMC (Vic)'!$G26*DASHBOARD!$C6*DASHBOARD!$E6*0.01)+('DFMC (Vic)'!$H26*DASHBOARD!$F6)</f>
        <v>55191.200000000004</v>
      </c>
      <c r="T62" s="13">
        <f>('DFMC (Vic)'!$F40*DASHBOARD!$C6*DASHBOARD!$D6*0.01)+('DFMC (Vic)'!$G40*DASHBOARD!$C6*DASHBOARD!$E6*0.01)</f>
        <v>55190.400000000001</v>
      </c>
      <c r="U62" s="13">
        <f>('Fonterra (North Vic &amp; Riverina)'!$H9*DASHBOARD!$C6*DASHBOARD!$D6*0.01)+('Fonterra (North Vic &amp; Riverina)'!$I9*DASHBOARD!$C6*DASHBOARD!$E6*0.01)+('Fonterra (North Vic &amp; Riverina)'!$J9*DASHBOARD!$C6*DASHBOARD!$D6*0.01)+('Fonterra (North Vic &amp; Riverina)'!$K9*DASHBOARD!$C6*DASHBOARD!$E6*0.01)+('Fonterra (North Vic &amp; Riverina)'!$L9*0.01*DASHBOARD!$C6*DASHBOARD!$D6)+('Fonterra (North Vic &amp; Riverina)'!$M25*DASHBOARD!$C6*DASHBOARD!$E6*0.01)</f>
        <v>61161.599999999999</v>
      </c>
      <c r="V62" s="13">
        <f>('Fonterra (North Vic &amp; Riverina)'!$H25*DASHBOARD!$C6*DASHBOARD!$D6*0.01)+('Fonterra (North Vic &amp; Riverina)'!$I25*DASHBOARD!$C6*DASHBOARD!$E6*0.01)+('Fonterra (North Vic &amp; Riverina)'!$J25*DASHBOARD!$C6*DASHBOARD!$D6*0.01)+('Fonterra (North Vic &amp; Riverina)'!$K25*DASHBOARD!$C6*DASHBOARD!$E6*0.01)+('Fonterra (North Vic &amp; Riverina)'!$L25*DASHBOARD!$C6*DASHBOARD!$D6*0.01)+('Fonterra (North Vic &amp; Riverina)'!$M25*DASHBOARD!$C6*DASHBOARD!$E6*0.01)</f>
        <v>59569.599999999999</v>
      </c>
      <c r="W62" s="13">
        <f>('Riverina Fresh'!$C6*DASHBOARD!$C6*DASHBOARD!$D6*0.01)+('Riverina Fresh'!$D6*DASHBOARD!$E6*DASHBOARD!$C6*0.01)+('Riverina Fresh'!$E6*DASHBOARD!$C6*DASHBOARD!$D6*0.01)+('Riverina Fresh'!$F6*DASHBOARD!$C6*DASHBOARD!$E6*0.01)-('Riverina Fresh'!$H6*DASHBOARD!$C6)-('Riverina Fresh'!G6)</f>
        <v>48661.979999999996</v>
      </c>
      <c r="X62" s="13">
        <f>('KY Valley (North Vic)'!$D5*DASHBOARD!$C6)+('KY Valley (North Vic)'!$E5*DASHBOARD!$C6*DASHBOARD!$D6*0.01)</f>
        <v>70000</v>
      </c>
      <c r="Y62" s="13">
        <f>('Lactalis (Vic, Tas, &amp; Riverina)'!$C9*DASHBOARD!$C6*DASHBOARD!$D6*0.01)+('Lactalis (Vic, Tas, &amp; Riverina)'!$D9*DASHBOARD!$C6*DASHBOARD!$E6*0.01)+('Lactalis (Vic, Tas, &amp; Riverina)'!$E9*DASHBOARD!$C6*DASHBOARD!$D6*0.01)+('Lactalis (Vic, Tas, &amp; Riverina)'!$F9*DASHBOARD!$C6*DASHBOARD!$E6*0.01)</f>
        <v>60120</v>
      </c>
      <c r="Z62" s="13">
        <f>('Lactalis (NSW)'!$C4*DASHBOARD!$C6)+('Lactalis (NSW)'!$D4*DASHBOARD!$C6)+('Lactalis (NSW)'!$E4*DASHBOARD!$C6)+('Lactalis (NSW)'!$F4*DASHBOARD!$C6*DASHBOARD!$D6*0.01)+('Lactalis (NSW)'!$G4*DASHBOARD!$C6*DASHBOARD!$E6*0.01)</f>
        <v>71343.69</v>
      </c>
      <c r="AA62" s="13">
        <f>(Noumi!$C5*DASHBOARD!$C6*DASHBOARD!$D6*0.01)+(Noumi!$D5*DASHBOARD!$C6*DASHBOARD!$E6*0.01)</f>
        <v>58312</v>
      </c>
      <c r="AB62" s="13">
        <f>('Saputo (North Vic)'!$C5*DASHBOARD!$C6*DASHBOARD!$D6*0.01)+('Saputo (North Vic)'!$D5*DASHBOARD!$C6*DASHBOARD!$E6*0.01)+('Saputo (North Vic)'!$E5*DASHBOARD!$C6*DASHBOARD!$D6*0.01)+('Saputo (North Vic)'!$F5*DASHBOARD!$C6*DASHBOARD!$E6*0.01)+('Saputo (North Vic)'!$G5*DASHBOARD!$C6*DASHBOARD!$D6*0.01)+('Saputo (North Vic)'!$H5*DASHBOARD!$C6*DASHBOARD!$E6*0.01)</f>
        <v>54600</v>
      </c>
      <c r="AC62" s="13">
        <f>(DASHBOARD!$C6*DASHBOARD!$D6*0.01*'Saputo (North Vic)'!$C25)+(DASHBOARD!$C6*DASHBOARD!$E6*0.01*'Saputo (North Vic)'!$D25)</f>
        <v>57824</v>
      </c>
    </row>
    <row r="63" spans="3:30">
      <c r="C63" s="11"/>
      <c r="D63" s="39" t="s">
        <v>62</v>
      </c>
      <c r="E63" s="13">
        <f>('Lactalis (QLD)'!$D6*DASHBOARD!$C7)+('Lactalis (QLD)'!$E6*DASHBOARD!$C7*DASHBOARD!$D7*0.01)+('Lactalis (QLD)'!$F6*DASHBOARD!$C7*DASHBOARD!$E7*0.01)+('Lactalis (QLD)'!$G6*DASHBOARD!$C7*DASHBOARD!$E7*0.01)+('Lactalis (QLD)'!$H6*DASHBOARD!$C7)</f>
        <v>81775.64</v>
      </c>
      <c r="F63" s="13">
        <f>('Lactalis (NSW)'!$C5*DASHBOARD!$C7)+('Lactalis (NSW)'!$D5*DASHBOARD!$C7)+('Lactalis (NSW)'!$E5*DASHBOARD!$C7)+('Lactalis (NSW)'!$F5*DASHBOARD!$C7*DASHBOARD!$D7*0.01)+('Lactalis (NSW)'!$G5*DASHBOARD!$C7*DASHBOARD!$E7*0.01)</f>
        <v>71343.69</v>
      </c>
      <c r="G63" s="13">
        <f>('Norco (South Region)'!$E7*DASHBOARD!$C7*DASHBOARD!$D7*0.01)+('Norco (South Region)'!$F7*DASHBOARD!$C7*DASHBOARD!$E7*0.01)+('Norco (South Region)'!$G7*DASHBOARD!$C7)+('Norco (South Region)'!$H7*DASHBOARD!$F7)+('Norco (South Region)'!$I7*DASHBOARD!$C7)+('Norco (South Region)'!$J7*DASHBOARD!$C7)-('Norco (South Region)'!$K7)</f>
        <v>71820</v>
      </c>
      <c r="H63" s="13">
        <f>('Saputo (NSW Metro)'!$C6*DASHBOARD!$C7*DASHBOARD!$D7*0.01)+('Saputo (NSW Metro)'!$D6*DASHBOARD!$C7*DASHBOARD!$E7*0.01)+('Saputo (NSW Metro)'!$E6*DASHBOARD!$C7*DASHBOARD!$D7*0.01)+('Saputo (NSW Metro)'!$F6*DASHBOARD!$C7*DASHBOARD!$E7*0.01)</f>
        <v>71136</v>
      </c>
      <c r="J63" s="39" t="s">
        <v>62</v>
      </c>
      <c r="K63" s="13">
        <f>('Bega (North Vic &amp; Riverina)'!$D6*DASHBOARD!$C7*DASHBOARD!$D7*0.01)+('Bega (North Vic &amp; Riverina)'!$E6*DASHBOARD!$C7*DASHBOARD!$E7*0.01)+('Bega (North Vic &amp; Riverina)'!$F6*DASHBOARD!$C7*DASHBOARD!$D7*0.01)+('Bega (North Vic &amp; Riverina)'!$G6*DASHBOARD!$C7*DASHBOARD!$E7*0.01)-('Bega (North Vic &amp; Riverina)'!$H6)</f>
        <v>52659.199999999997</v>
      </c>
      <c r="L63" s="13">
        <f>(DASHBOARD!$C7*DASHBOARD!$D7*0.01*'Bega (North Vic &amp; Riverina)'!$D22)+('Bega (North Vic &amp; Riverina)'!$E22*DASHBOARD!$C7*DASHBOARD!$E7*0.01)</f>
        <v>57033.599999999999</v>
      </c>
      <c r="M63" s="13">
        <f>('Bega (North Vic &amp; Riverina)'!$D37*DASHBOARD!$C7*DASHBOARD!$D7*0.01)+(DASHBOARD!$C7*DASHBOARD!$E7*0.01*'Bega (North Vic &amp; Riverina)'!$E37)</f>
        <v>57240</v>
      </c>
      <c r="N63" s="13">
        <f>(ACM!$D6*DASHBOARD!$D7*DASHBOARD!$C7*0.01)+(ACM!$E6*DASHBOARD!$E7*DASHBOARD!$C7*0.01)+(ACM!$F6*DASHBOARD!$C7)</f>
        <v>53252</v>
      </c>
      <c r="O63" s="13">
        <f>(Bulla!$C5*DASHBOARD!$F7)</f>
        <v>62280.000000000007</v>
      </c>
      <c r="P63" s="13">
        <f>(Bulla!$C19*DASHBOARD!$C7*DASHBOARD!$D7*0.01)+(Bulla!$D19*DASHBOARD!$C7*DASHBOARD!$E7*0.01)</f>
        <v>62278.400000000001</v>
      </c>
      <c r="Q63" s="13">
        <f>('Coles (Vic, Riverina, &amp; SE SA)'!$D7*DASHBOARD!$C7*DASHBOARD!$D7*0.01)+('Coles (Vic, Riverina, &amp; SE SA)'!$E7*DASHBOARD!$C7*DASHBOARD!$E7*0.01)-('Coles (Vic, Riverina, &amp; SE SA)'!$F7)</f>
        <v>63726</v>
      </c>
      <c r="R63" s="13">
        <f>('DFMC (Vic)'!$F7*DASHBOARD!$C7*DASHBOARD!$D7*0.01)+('DFMC (Vic)'!$G7*DASHBOARD!$C7*DASHBOARD!$E7*0.01)+('DFMC (Vic)'!$H7*DASHBOARD!$F7)</f>
        <v>49953.600000000006</v>
      </c>
      <c r="S63" s="13">
        <f>('DFMC (Vic)'!$F27*DASHBOARD!$C7*DASHBOARD!$D7*0.01)+('DFMC (Vic)'!$G27*DASHBOARD!$C7*DASHBOARD!$E7*0.01)+('DFMC (Vic)'!$H27*DASHBOARD!$F7)</f>
        <v>51527.200000000004</v>
      </c>
      <c r="T63" s="13">
        <f>('DFMC (Vic)'!$F41*DASHBOARD!$C7*DASHBOARD!$D7*0.01)+('DFMC (Vic)'!$G41*DASHBOARD!$C7*DASHBOARD!$E7*0.01)</f>
        <v>55190.400000000001</v>
      </c>
      <c r="U63" s="13">
        <f>('Fonterra (North Vic &amp; Riverina)'!$H10*DASHBOARD!$C7*DASHBOARD!$D7*0.01)+('Fonterra (North Vic &amp; Riverina)'!$I10*DASHBOARD!$C7*DASHBOARD!$E7*0.01)+('Fonterra (North Vic &amp; Riverina)'!$J10*DASHBOARD!$C7*DASHBOARD!$D7*0.01)+('Fonterra (North Vic &amp; Riverina)'!$K10*DASHBOARD!$C7*DASHBOARD!$E7*0.01)+('Fonterra (North Vic &amp; Riverina)'!$L10*0.01*DASHBOARD!$C7*DASHBOARD!$D7)+('Fonterra (North Vic &amp; Riverina)'!$M26*DASHBOARD!$C7*DASHBOARD!$E7*0.01)</f>
        <v>56001.599999999999</v>
      </c>
      <c r="V63" s="13">
        <f>('Fonterra (North Vic &amp; Riverina)'!$H26*DASHBOARD!$C7*DASHBOARD!$D7*0.01)+('Fonterra (North Vic &amp; Riverina)'!$I26*DASHBOARD!$C7*DASHBOARD!$E7*0.01)+('Fonterra (North Vic &amp; Riverina)'!$J26*DASHBOARD!$C7*DASHBOARD!$D7*0.01)+('Fonterra (North Vic &amp; Riverina)'!$K26*DASHBOARD!$C7*DASHBOARD!$E7*0.01)+('Fonterra (North Vic &amp; Riverina)'!$L26*DASHBOARD!$C7*DASHBOARD!$D7*0.01)+('Fonterra (North Vic &amp; Riverina)'!$M26*DASHBOARD!$C7*DASHBOARD!$E7*0.01)</f>
        <v>56001.599999999999</v>
      </c>
      <c r="W63" s="13">
        <f>('Riverina Fresh'!$C7*DASHBOARD!$C7*DASHBOARD!$D7*0.01)+('Riverina Fresh'!$D7*DASHBOARD!$E7*DASHBOARD!$C7*0.01)+('Riverina Fresh'!$E7*DASHBOARD!$C7*DASHBOARD!$D7*0.01)+('Riverina Fresh'!$F7*DASHBOARD!$C7*DASHBOARD!$E7*0.01)-('Riverina Fresh'!$H7*DASHBOARD!$C7)-('Riverina Fresh'!G7)</f>
        <v>48673.399999999994</v>
      </c>
      <c r="X63" s="13">
        <f>('KY Valley (North Vic)'!$D6*DASHBOARD!$C7)+('KY Valley (North Vic)'!$E6*DASHBOARD!$C7*DASHBOARD!$D7*0.01)</f>
        <v>70000</v>
      </c>
      <c r="Y63" s="13">
        <f>('Lactalis (Vic, Tas, &amp; Riverina)'!$C10*DASHBOARD!$C7*DASHBOARD!$D7*0.01)+('Lactalis (Vic, Tas, &amp; Riverina)'!$D10*DASHBOARD!$C7*DASHBOARD!$E7*0.01)+('Lactalis (Vic, Tas, &amp; Riverina)'!$E10*DASHBOARD!$C7*DASHBOARD!$D7*0.01)+('Lactalis (Vic, Tas, &amp; Riverina)'!$F10*DASHBOARD!$C7*DASHBOARD!$E7*0.01)</f>
        <v>53432</v>
      </c>
      <c r="Z63" s="13">
        <f>('Lactalis (NSW)'!$C5*DASHBOARD!$C7)+('Lactalis (NSW)'!$D5*DASHBOARD!$C7)+('Lactalis (NSW)'!$E5*DASHBOARD!$C7)+('Lactalis (NSW)'!$F5*DASHBOARD!$C7*DASHBOARD!$D7*0.01)+('Lactalis (NSW)'!$G5*DASHBOARD!$C7*DASHBOARD!$E7*0.01)</f>
        <v>71343.69</v>
      </c>
      <c r="AA63" s="13">
        <f>(Noumi!$C6*DASHBOARD!$C7*DASHBOARD!$D7*0.01)+(Noumi!$D6*DASHBOARD!$C7*DASHBOARD!$E7*0.01)</f>
        <v>58312</v>
      </c>
      <c r="AB63" s="13">
        <f>('Saputo (North Vic)'!$C6*DASHBOARD!$C7*DASHBOARD!$D7*0.01)+('Saputo (North Vic)'!$D6*DASHBOARD!$C7*DASHBOARD!$E7*0.01)+('Saputo (North Vic)'!$E6*DASHBOARD!$C7*DASHBOARD!$D7*0.01)+('Saputo (North Vic)'!$F6*DASHBOARD!$C7*DASHBOARD!$E7*0.01)+('Saputo (North Vic)'!$G6*DASHBOARD!$C7*DASHBOARD!$D7*0.01)+('Saputo (North Vic)'!$H6*DASHBOARD!$C7*DASHBOARD!$E7*0.01)</f>
        <v>54600</v>
      </c>
      <c r="AC63" s="13">
        <f>(DASHBOARD!$C7*DASHBOARD!$D7*0.01*'Saputo (North Vic)'!$C26)+(DASHBOARD!$C7*DASHBOARD!$E7*0.01*'Saputo (North Vic)'!$D26)</f>
        <v>57824</v>
      </c>
    </row>
    <row r="64" spans="3:30">
      <c r="C64" s="11"/>
      <c r="D64" s="39" t="s">
        <v>63</v>
      </c>
      <c r="E64" s="13">
        <f>('Lactalis (QLD)'!$D7*DASHBOARD!$C8)+('Lactalis (QLD)'!$E7*DASHBOARD!$C8*DASHBOARD!$D8*0.01)+('Lactalis (QLD)'!$F7*DASHBOARD!$C8*DASHBOARD!$E8*0.01)+('Lactalis (QLD)'!$G7*DASHBOARD!$C8*DASHBOARD!$E8*0.01)+('Lactalis (QLD)'!$H7*DASHBOARD!$C8)</f>
        <v>81775.64</v>
      </c>
      <c r="F64" s="13">
        <f>('Lactalis (NSW)'!$C6*DASHBOARD!$C8)+('Lactalis (NSW)'!$D6*DASHBOARD!$C8)+('Lactalis (NSW)'!$E6*DASHBOARD!$C8)+('Lactalis (NSW)'!$F6*DASHBOARD!$C8*DASHBOARD!$D8*0.01)+('Lactalis (NSW)'!$G6*DASHBOARD!$C8*DASHBOARD!$E8*0.01)</f>
        <v>71343.69</v>
      </c>
      <c r="G64" s="13">
        <f>('Norco (South Region)'!$E8*DASHBOARD!$C8*DASHBOARD!$D8*0.01)+('Norco (South Region)'!$F8*DASHBOARD!$C8*DASHBOARD!$E8*0.01)+('Norco (South Region)'!$G8*DASHBOARD!$C8)+('Norco (South Region)'!$H8*DASHBOARD!$F8)+('Norco (South Region)'!$I8*DASHBOARD!$C8)+('Norco (South Region)'!$J8*DASHBOARD!$C8)-('Norco (South Region)'!$K8)</f>
        <v>71770</v>
      </c>
      <c r="H64" s="13">
        <f>('Saputo (NSW Metro)'!$C7*DASHBOARD!$C8*DASHBOARD!$D8*0.01)+('Saputo (NSW Metro)'!$D7*DASHBOARD!$C8*DASHBOARD!$E8*0.01)+('Saputo (NSW Metro)'!$E7*DASHBOARD!$C8*DASHBOARD!$D8*0.01)+('Saputo (NSW Metro)'!$F7*DASHBOARD!$C8*DASHBOARD!$E8*0.01)</f>
        <v>71136</v>
      </c>
      <c r="J64" s="39" t="s">
        <v>63</v>
      </c>
      <c r="K64" s="13">
        <f>('Bega (North Vic &amp; Riverina)'!$D7*DASHBOARD!$C8*DASHBOARD!$D8*0.01)+('Bega (North Vic &amp; Riverina)'!$E7*DASHBOARD!$C8*DASHBOARD!$E8*0.01)+('Bega (North Vic &amp; Riverina)'!$F7*DASHBOARD!$C8*DASHBOARD!$D8*0.01)+('Bega (North Vic &amp; Riverina)'!$G7*DASHBOARD!$C8*DASHBOARD!$E8*0.01)-('Bega (North Vic &amp; Riverina)'!$H7)</f>
        <v>52651.199999999997</v>
      </c>
      <c r="L64" s="13">
        <f>(DASHBOARD!$C8*DASHBOARD!$D8*0.01*'Bega (North Vic &amp; Riverina)'!$D23)+('Bega (North Vic &amp; Riverina)'!$E23*DASHBOARD!$C8*DASHBOARD!$E8*0.01)</f>
        <v>57033.599999999999</v>
      </c>
      <c r="M64" s="13">
        <f>('Bega (North Vic &amp; Riverina)'!$D38*DASHBOARD!$C8*DASHBOARD!$D8*0.01)+(DASHBOARD!$C8*DASHBOARD!$E8*0.01*'Bega (North Vic &amp; Riverina)'!$E38)</f>
        <v>57240</v>
      </c>
      <c r="N64" s="13">
        <f>(ACM!$D7*DASHBOARD!$D8*DASHBOARD!$C8*0.01)+(ACM!$E7*DASHBOARD!$E8*DASHBOARD!$C8*0.01)+(ACM!$F7*DASHBOARD!$C8)</f>
        <v>53252</v>
      </c>
      <c r="O64" s="13">
        <f>(Bulla!$C6*DASHBOARD!$F8)</f>
        <v>62280.000000000007</v>
      </c>
      <c r="P64" s="13">
        <f>(Bulla!$C20*DASHBOARD!$C8*DASHBOARD!$D8*0.01)+(Bulla!$D20*DASHBOARD!$C8*DASHBOARD!$E8*0.01)</f>
        <v>62278.400000000001</v>
      </c>
      <c r="Q64" s="13">
        <f>('Coles (Vic, Riverina, &amp; SE SA)'!$D8*DASHBOARD!$C8*DASHBOARD!$D8*0.01)+('Coles (Vic, Riverina, &amp; SE SA)'!$E8*DASHBOARD!$C8*DASHBOARD!$E8*0.01)-('Coles (Vic, Riverina, &amp; SE SA)'!$F8)</f>
        <v>63651</v>
      </c>
      <c r="R64" s="13">
        <f>('DFMC (Vic)'!$F8*DASHBOARD!$C8*DASHBOARD!$D8*0.01)+('DFMC (Vic)'!$G8*DASHBOARD!$C8*DASHBOARD!$E8*0.01)+('DFMC (Vic)'!$H8*DASHBOARD!$F8)</f>
        <v>49953.600000000006</v>
      </c>
      <c r="S64" s="13">
        <f>('DFMC (Vic)'!$F28*DASHBOARD!$C8*DASHBOARD!$D8*0.01)+('DFMC (Vic)'!$G28*DASHBOARD!$C8*DASHBOARD!$E8*0.01)+('DFMC (Vic)'!$H28*DASHBOARD!$F8)</f>
        <v>51527.200000000004</v>
      </c>
      <c r="T64" s="13">
        <f>('DFMC (Vic)'!$F42*DASHBOARD!$C8*DASHBOARD!$D8*0.01)+('DFMC (Vic)'!$G42*DASHBOARD!$C8*DASHBOARD!$E8*0.01)</f>
        <v>55190.400000000001</v>
      </c>
      <c r="U64" s="13">
        <f>('Fonterra (North Vic &amp; Riverina)'!$H11*DASHBOARD!$C8*DASHBOARD!$D8*0.01)+('Fonterra (North Vic &amp; Riverina)'!$I11*DASHBOARD!$C8*DASHBOARD!$E8*0.01)+('Fonterra (North Vic &amp; Riverina)'!$J11*DASHBOARD!$C8*DASHBOARD!$D8*0.01)+('Fonterra (North Vic &amp; Riverina)'!$K11*DASHBOARD!$C8*DASHBOARD!$E8*0.01)+('Fonterra (North Vic &amp; Riverina)'!$L11*0.01*DASHBOARD!$C8*DASHBOARD!$D8)+('Fonterra (North Vic &amp; Riverina)'!$M27*DASHBOARD!$C8*DASHBOARD!$E8*0.01)</f>
        <v>56001.599999999999</v>
      </c>
      <c r="V64" s="13">
        <f>('Fonterra (North Vic &amp; Riverina)'!$H27*DASHBOARD!$C8*DASHBOARD!$D8*0.01)+('Fonterra (North Vic &amp; Riverina)'!$I27*DASHBOARD!$C8*DASHBOARD!$E8*0.01)+('Fonterra (North Vic &amp; Riverina)'!$J27*DASHBOARD!$C8*DASHBOARD!$D8*0.01)+('Fonterra (North Vic &amp; Riverina)'!$K27*DASHBOARD!$C8*DASHBOARD!$E8*0.01)+('Fonterra (North Vic &amp; Riverina)'!$L27*DASHBOARD!$C8*DASHBOARD!$D8*0.01)+('Fonterra (North Vic &amp; Riverina)'!$M27*DASHBOARD!$C8*DASHBOARD!$E8*0.01)</f>
        <v>56001.599999999999</v>
      </c>
      <c r="W64" s="13">
        <f>('Riverina Fresh'!$C8*DASHBOARD!$C8*DASHBOARD!$D8*0.01)+('Riverina Fresh'!$D8*DASHBOARD!$E8*DASHBOARD!$C8*0.01)+('Riverina Fresh'!$E8*DASHBOARD!$C8*DASHBOARD!$D8*0.01)+('Riverina Fresh'!$F8*DASHBOARD!$C8*DASHBOARD!$E8*0.01)-('Riverina Fresh'!$H8*DASHBOARD!$C8)-('Riverina Fresh'!G8)</f>
        <v>48661.979999999996</v>
      </c>
      <c r="X64" s="13">
        <f>('KY Valley (North Vic)'!$D7*DASHBOARD!$C8)+('KY Valley (North Vic)'!$E7*DASHBOARD!$C8*DASHBOARD!$D8*0.01)</f>
        <v>70000</v>
      </c>
      <c r="Y64" s="13">
        <f>('Lactalis (Vic, Tas, &amp; Riverina)'!$C11*DASHBOARD!$C8*DASHBOARD!$D8*0.01)+('Lactalis (Vic, Tas, &amp; Riverina)'!$D11*DASHBOARD!$C8*DASHBOARD!$E8*0.01)+('Lactalis (Vic, Tas, &amp; Riverina)'!$E11*DASHBOARD!$C8*DASHBOARD!$D8*0.01)+('Lactalis (Vic, Tas, &amp; Riverina)'!$F11*DASHBOARD!$C8*DASHBOARD!$E8*0.01)</f>
        <v>53432</v>
      </c>
      <c r="Z64" s="13">
        <f>('Lactalis (NSW)'!$C6*DASHBOARD!$C8)+('Lactalis (NSW)'!$D6*DASHBOARD!$C8)+('Lactalis (NSW)'!$E6*DASHBOARD!$C8)+('Lactalis (NSW)'!$F6*DASHBOARD!$C8*DASHBOARD!$D8*0.01)+('Lactalis (NSW)'!$G6*DASHBOARD!$C8*DASHBOARD!$E8*0.01)</f>
        <v>71343.69</v>
      </c>
      <c r="AA64" s="13">
        <f>(Noumi!$C7*DASHBOARD!$C8*DASHBOARD!$D8*0.01)+(Noumi!$D7*DASHBOARD!$C8*DASHBOARD!$E8*0.01)</f>
        <v>58312</v>
      </c>
      <c r="AB64" s="13">
        <f>('Saputo (North Vic)'!$C7*DASHBOARD!$C8*DASHBOARD!$D8*0.01)+('Saputo (North Vic)'!$D7*DASHBOARD!$C8*DASHBOARD!$E8*0.01)+('Saputo (North Vic)'!$E7*DASHBOARD!$C8*DASHBOARD!$D8*0.01)+('Saputo (North Vic)'!$F7*DASHBOARD!$C8*DASHBOARD!$E8*0.01)+('Saputo (North Vic)'!$G7*DASHBOARD!$C8*DASHBOARD!$D8*0.01)+('Saputo (North Vic)'!$H7*DASHBOARD!$C8*DASHBOARD!$E8*0.01)</f>
        <v>54600</v>
      </c>
      <c r="AC64" s="13">
        <f>(DASHBOARD!$C8*DASHBOARD!$D8*0.01*'Saputo (North Vic)'!$C27)+(DASHBOARD!$C8*DASHBOARD!$E8*0.01*'Saputo (North Vic)'!$D27)</f>
        <v>57824</v>
      </c>
    </row>
    <row r="65" spans="3:29">
      <c r="C65" s="11"/>
      <c r="D65" s="39" t="s">
        <v>64</v>
      </c>
      <c r="E65" s="13">
        <f>('Lactalis (QLD)'!$D8*DASHBOARD!$C9)+('Lactalis (QLD)'!$E8*DASHBOARD!$C9*DASHBOARD!$D9*0.01)+('Lactalis (QLD)'!$F8*DASHBOARD!$C9*DASHBOARD!$E9*0.01)+('Lactalis (QLD)'!$G8*DASHBOARD!$C9*DASHBOARD!$E9*0.01)+('Lactalis (QLD)'!$H8*DASHBOARD!$C9)</f>
        <v>81775.64</v>
      </c>
      <c r="F65" s="13">
        <f>('Lactalis (NSW)'!$C7*DASHBOARD!$C9)+('Lactalis (NSW)'!$D7*DASHBOARD!$C9)+('Lactalis (NSW)'!$E7*DASHBOARD!$C9)+('Lactalis (NSW)'!$F7*DASHBOARD!$C9*DASHBOARD!$D9*0.01)+('Lactalis (NSW)'!$G7*DASHBOARD!$C9*DASHBOARD!$E9*0.01)</f>
        <v>71343.69</v>
      </c>
      <c r="G65" s="13">
        <f>('Norco (South Region)'!$E9*DASHBOARD!$C9*DASHBOARD!$D9*0.01)+('Norco (South Region)'!$F9*DASHBOARD!$C9*DASHBOARD!$E9*0.01)+('Norco (South Region)'!$G9*DASHBOARD!$C9)+('Norco (South Region)'!$H9*DASHBOARD!$F9)+('Norco (South Region)'!$I9*DASHBOARD!$C9)+('Norco (South Region)'!$J9*DASHBOARD!$C9)-('Norco (South Region)'!$K9)</f>
        <v>71820</v>
      </c>
      <c r="H65" s="13">
        <f>('Saputo (NSW Metro)'!$C8*DASHBOARD!$C9*DASHBOARD!$D9*0.01)+('Saputo (NSW Metro)'!$D8*DASHBOARD!$C9*DASHBOARD!$E9*0.01)+('Saputo (NSW Metro)'!$E8*DASHBOARD!$C9*DASHBOARD!$D9*0.01)+('Saputo (NSW Metro)'!$F8*DASHBOARD!$C9*DASHBOARD!$E9*0.01)</f>
        <v>71136</v>
      </c>
      <c r="J65" s="39" t="s">
        <v>64</v>
      </c>
      <c r="K65" s="13">
        <f>('Bega (North Vic &amp; Riverina)'!$D8*DASHBOARD!$C9*DASHBOARD!$D9*0.01)+('Bega (North Vic &amp; Riverina)'!$E8*DASHBOARD!$C9*DASHBOARD!$E9*0.01)+('Bega (North Vic &amp; Riverina)'!$F8*DASHBOARD!$C9*DASHBOARD!$D9*0.01)+('Bega (North Vic &amp; Riverina)'!$G8*DASHBOARD!$C9*DASHBOARD!$E9*0.01)-('Bega (North Vic &amp; Riverina)'!$H8)</f>
        <v>52659.199999999997</v>
      </c>
      <c r="L65" s="13">
        <f>(DASHBOARD!$C9*DASHBOARD!$D9*0.01*'Bega (North Vic &amp; Riverina)'!$D24)+('Bega (North Vic &amp; Riverina)'!$E24*DASHBOARD!$C9*DASHBOARD!$E9*0.01)</f>
        <v>57033.599999999999</v>
      </c>
      <c r="M65" s="13">
        <f>('Bega (North Vic &amp; Riverina)'!$D39*DASHBOARD!$C9*DASHBOARD!$D9*0.01)+(DASHBOARD!$C9*DASHBOARD!$E9*0.01*'Bega (North Vic &amp; Riverina)'!$E39)</f>
        <v>57240</v>
      </c>
      <c r="N65" s="13">
        <f>(ACM!$D8*DASHBOARD!$D9*DASHBOARD!$C9*0.01)+(ACM!$E8*DASHBOARD!$E9*DASHBOARD!$C9*0.01)+(ACM!$F8*DASHBOARD!$C9)</f>
        <v>53252</v>
      </c>
      <c r="O65" s="13">
        <f>(Bulla!$C7*DASHBOARD!$F9)</f>
        <v>62280.000000000007</v>
      </c>
      <c r="P65" s="13">
        <f>(Bulla!$C21*DASHBOARD!$C9*DASHBOARD!$D9*0.01)+(Bulla!$D21*DASHBOARD!$C9*DASHBOARD!$E9*0.01)</f>
        <v>62278.400000000001</v>
      </c>
      <c r="Q65" s="13">
        <f>('Coles (Vic, Riverina, &amp; SE SA)'!$D9*DASHBOARD!$C9*DASHBOARD!$D9*0.01)+('Coles (Vic, Riverina, &amp; SE SA)'!$E9*DASHBOARD!$C9*DASHBOARD!$E9*0.01)-('Coles (Vic, Riverina, &amp; SE SA)'!$F9)</f>
        <v>63726</v>
      </c>
      <c r="R65" s="13">
        <f>('DFMC (Vic)'!$F9*DASHBOARD!$C9*DASHBOARD!$D9*0.01)+('DFMC (Vic)'!$G9*DASHBOARD!$C9*DASHBOARD!$E9*0.01)+('DFMC (Vic)'!$H9*DASHBOARD!$F9)</f>
        <v>49953.600000000006</v>
      </c>
      <c r="S65" s="13">
        <f>('DFMC (Vic)'!$F29*DASHBOARD!$C9*DASHBOARD!$D9*0.01)+('DFMC (Vic)'!$G29*DASHBOARD!$C9*DASHBOARD!$E9*0.01)+('DFMC (Vic)'!$H29*DASHBOARD!$F9)</f>
        <v>51527.200000000004</v>
      </c>
      <c r="T65" s="13">
        <f>('DFMC (Vic)'!$F43*DASHBOARD!$C9*DASHBOARD!$D9*0.01)+('DFMC (Vic)'!$G43*DASHBOARD!$C9*DASHBOARD!$E9*0.01)</f>
        <v>55190.400000000001</v>
      </c>
      <c r="U65" s="13">
        <f>('Fonterra (North Vic &amp; Riverina)'!$H12*DASHBOARD!$C9*DASHBOARD!$D9*0.01)+('Fonterra (North Vic &amp; Riverina)'!$I12*DASHBOARD!$C9*DASHBOARD!$E9*0.01)+('Fonterra (North Vic &amp; Riverina)'!$J12*DASHBOARD!$C9*DASHBOARD!$D9*0.01)+('Fonterra (North Vic &amp; Riverina)'!$K12*DASHBOARD!$C9*DASHBOARD!$E9*0.01)+('Fonterra (North Vic &amp; Riverina)'!$L12*0.01*DASHBOARD!$C9*DASHBOARD!$D9)+('Fonterra (North Vic &amp; Riverina)'!$M28*DASHBOARD!$C9*DASHBOARD!$E9*0.01)</f>
        <v>56001.599999999999</v>
      </c>
      <c r="V65" s="13">
        <f>('Fonterra (North Vic &amp; Riverina)'!$H28*DASHBOARD!$C9*DASHBOARD!$D9*0.01)+('Fonterra (North Vic &amp; Riverina)'!$I28*DASHBOARD!$C9*DASHBOARD!$E9*0.01)+('Fonterra (North Vic &amp; Riverina)'!$J28*DASHBOARD!$C9*DASHBOARD!$D9*0.01)+('Fonterra (North Vic &amp; Riverina)'!$K28*DASHBOARD!$C9*DASHBOARD!$E9*0.01)+('Fonterra (North Vic &amp; Riverina)'!$L28*DASHBOARD!$C9*DASHBOARD!$D9*0.01)+('Fonterra (North Vic &amp; Riverina)'!$M28*DASHBOARD!$C9*DASHBOARD!$E9*0.01)</f>
        <v>56001.599999999999</v>
      </c>
      <c r="W65" s="13">
        <f>('Riverina Fresh'!$C9*DASHBOARD!$C9*DASHBOARD!$D9*0.01)+('Riverina Fresh'!$D9*DASHBOARD!$E9*DASHBOARD!$C9*0.01)+('Riverina Fresh'!$E9*DASHBOARD!$C9*DASHBOARD!$D9*0.01)+('Riverina Fresh'!$F9*DASHBOARD!$C9*DASHBOARD!$E9*0.01)-('Riverina Fresh'!$H9*DASHBOARD!$C9)-('Riverina Fresh'!G9)</f>
        <v>48673.399999999994</v>
      </c>
      <c r="X65" s="13">
        <f>('KY Valley (North Vic)'!$D8*DASHBOARD!$C9)+('KY Valley (North Vic)'!$E8*DASHBOARD!$C9*DASHBOARD!$D9*0.01)</f>
        <v>70000</v>
      </c>
      <c r="Y65" s="13">
        <f>('Lactalis (Vic, Tas, &amp; Riverina)'!$C12*DASHBOARD!$C9*DASHBOARD!$D9*0.01)+('Lactalis (Vic, Tas, &amp; Riverina)'!$D12*DASHBOARD!$C9*DASHBOARD!$E9*0.01)+('Lactalis (Vic, Tas, &amp; Riverina)'!$E12*DASHBOARD!$C9*DASHBOARD!$D9*0.01)+('Lactalis (Vic, Tas, &amp; Riverina)'!$F12*DASHBOARD!$C9*DASHBOARD!$E9*0.01)</f>
        <v>53432</v>
      </c>
      <c r="Z65" s="13">
        <f>('Lactalis (NSW)'!$C7*DASHBOARD!$C9)+('Lactalis (NSW)'!$D7*DASHBOARD!$C9)+('Lactalis (NSW)'!$E7*DASHBOARD!$C9)+('Lactalis (NSW)'!$F7*DASHBOARD!$C9*DASHBOARD!$D9*0.01)+('Lactalis (NSW)'!$G7*DASHBOARD!$C9*DASHBOARD!$E9*0.01)</f>
        <v>71343.69</v>
      </c>
      <c r="AA65" s="13">
        <f>(Noumi!$C8*DASHBOARD!$C9*DASHBOARD!$D9*0.01)+(Noumi!$D8*DASHBOARD!$C9*DASHBOARD!$E9*0.01)</f>
        <v>58312</v>
      </c>
      <c r="AB65" s="13">
        <f>('Saputo (North Vic)'!$C8*DASHBOARD!$C9*DASHBOARD!$D9*0.01)+('Saputo (North Vic)'!$D8*DASHBOARD!$C9*DASHBOARD!$E9*0.01)+('Saputo (North Vic)'!$E8*DASHBOARD!$C9*DASHBOARD!$D9*0.01)+('Saputo (North Vic)'!$F8*DASHBOARD!$C9*DASHBOARD!$E9*0.01)+('Saputo (North Vic)'!$G8*DASHBOARD!$C9*DASHBOARD!$D9*0.01)+('Saputo (North Vic)'!$H8*DASHBOARD!$C9*DASHBOARD!$E9*0.01)</f>
        <v>54600</v>
      </c>
      <c r="AC65" s="13">
        <f>(DASHBOARD!$C9*DASHBOARD!$D9*0.01*'Saputo (North Vic)'!$C28)+(DASHBOARD!$C9*DASHBOARD!$E9*0.01*'Saputo (North Vic)'!$D28)</f>
        <v>57824</v>
      </c>
    </row>
    <row r="66" spans="3:29">
      <c r="C66" s="11"/>
      <c r="D66" s="39" t="s">
        <v>65</v>
      </c>
      <c r="E66" s="13">
        <f>('Lactalis (QLD)'!$D9*DASHBOARD!$C10)+('Lactalis (QLD)'!$E9*DASHBOARD!$C10*DASHBOARD!$D10*0.01)+('Lactalis (QLD)'!$F9*DASHBOARD!$C10*DASHBOARD!$E10*0.01)+('Lactalis (QLD)'!$G9*DASHBOARD!$C10*DASHBOARD!$E10*0.01)+('Lactalis (QLD)'!$H9*DASHBOARD!$C10)</f>
        <v>81775.64</v>
      </c>
      <c r="F66" s="13">
        <f>('Lactalis (NSW)'!$C8*DASHBOARD!$C10)+('Lactalis (NSW)'!$D8*DASHBOARD!$C10)+('Lactalis (NSW)'!$E8*DASHBOARD!$C10)+('Lactalis (NSW)'!$F8*DASHBOARD!$C10*DASHBOARD!$D10*0.01)+('Lactalis (NSW)'!$G8*DASHBOARD!$C10*DASHBOARD!$E10*0.01)</f>
        <v>71343.69</v>
      </c>
      <c r="G66" s="13">
        <f>('Norco (South Region)'!$E10*DASHBOARD!$C10*DASHBOARD!$D10*0.01)+('Norco (South Region)'!$F10*DASHBOARD!$C10*DASHBOARD!$E10*0.01)+('Norco (South Region)'!$G10*DASHBOARD!$C10)+('Norco (South Region)'!$H10*DASHBOARD!$F10)+('Norco (South Region)'!$I10*DASHBOARD!$C10)+('Norco (South Region)'!$J10*DASHBOARD!$C10)-('Norco (South Region)'!$K10)</f>
        <v>72270</v>
      </c>
      <c r="H66" s="13">
        <f>('Saputo (NSW Metro)'!$C9*DASHBOARD!$C10*DASHBOARD!$D10*0.01)+('Saputo (NSW Metro)'!$D9*DASHBOARD!$C10*DASHBOARD!$E10*0.01)+('Saputo (NSW Metro)'!$E9*DASHBOARD!$C10*DASHBOARD!$D10*0.01)+('Saputo (NSW Metro)'!$F9*DASHBOARD!$C10*DASHBOARD!$E10*0.01)</f>
        <v>74048</v>
      </c>
      <c r="J66" s="39" t="s">
        <v>65</v>
      </c>
      <c r="K66" s="13">
        <f>('Bega (North Vic &amp; Riverina)'!$D9*DASHBOARD!$C10*DASHBOARD!$D10*0.01)+('Bega (North Vic &amp; Riverina)'!$E9*DASHBOARD!$C10*DASHBOARD!$E10*0.01)+('Bega (North Vic &amp; Riverina)'!$F9*DASHBOARD!$C10*DASHBOARD!$D10*0.01)+('Bega (North Vic &amp; Riverina)'!$G9*DASHBOARD!$C10*DASHBOARD!$E10*0.01)-('Bega (North Vic &amp; Riverina)'!$H9)</f>
        <v>56312</v>
      </c>
      <c r="L66" s="13">
        <f>(DASHBOARD!$C10*DASHBOARD!$D10*0.01*'Bega (North Vic &amp; Riverina)'!$D25)+('Bega (North Vic &amp; Riverina)'!$E25*DASHBOARD!$C10*DASHBOARD!$E10*0.01)</f>
        <v>57033.599999999999</v>
      </c>
      <c r="M66" s="13">
        <f>('Bega (North Vic &amp; Riverina)'!$D40*DASHBOARD!$C10*DASHBOARD!$D10*0.01)+(DASHBOARD!$C10*DASHBOARD!$E10*0.01*'Bega (North Vic &amp; Riverina)'!$E40)</f>
        <v>57240</v>
      </c>
      <c r="N66" s="13">
        <f>(ACM!$D9*DASHBOARD!$D10*DASHBOARD!$C10*0.01)+(ACM!$E9*DASHBOARD!$E10*DASHBOARD!$C10*0.01)+(ACM!$F9*DASHBOARD!$C10)</f>
        <v>57564</v>
      </c>
      <c r="O66" s="13">
        <f>(Bulla!$C8*DASHBOARD!$F10)</f>
        <v>62280.000000000007</v>
      </c>
      <c r="P66" s="13">
        <f>(Bulla!$C22*DASHBOARD!$C10*DASHBOARD!$D10*0.01)+(Bulla!$D22*DASHBOARD!$C10*DASHBOARD!$E10*0.01)</f>
        <v>62278.400000000001</v>
      </c>
      <c r="Q66" s="13">
        <f>('Coles (Vic, Riverina, &amp; SE SA)'!$D10*DASHBOARD!$C10*DASHBOARD!$D10*0.01)+('Coles (Vic, Riverina, &amp; SE SA)'!$E10*DASHBOARD!$C10*DASHBOARD!$E10*0.01)-('Coles (Vic, Riverina, &amp; SE SA)'!$F10)</f>
        <v>63651</v>
      </c>
      <c r="R66" s="13">
        <f>('DFMC (Vic)'!$F10*DASHBOARD!$C10*DASHBOARD!$D10*0.01)+('DFMC (Vic)'!$G10*DASHBOARD!$C10*DASHBOARD!$E10*0.01)+('DFMC (Vic)'!$H10*DASHBOARD!$F10)</f>
        <v>49953.600000000006</v>
      </c>
      <c r="S66" s="13">
        <f>('DFMC (Vic)'!$F30*DASHBOARD!$C10*DASHBOARD!$D10*0.01)+('DFMC (Vic)'!$G30*DASHBOARD!$C10*DASHBOARD!$E10*0.01)+('DFMC (Vic)'!$H30*DASHBOARD!$F10)</f>
        <v>55191.200000000004</v>
      </c>
      <c r="T66" s="13">
        <f>('DFMC (Vic)'!$F44*DASHBOARD!$C10*DASHBOARD!$D10*0.01)+('DFMC (Vic)'!$G44*DASHBOARD!$C10*DASHBOARD!$E10*0.01)</f>
        <v>55190.400000000001</v>
      </c>
      <c r="U66" s="13">
        <f>('Fonterra (North Vic &amp; Riverina)'!$H13*DASHBOARD!$C10*DASHBOARD!$D10*0.01)+('Fonterra (North Vic &amp; Riverina)'!$I13*DASHBOARD!$C10*DASHBOARD!$E10*0.01)+('Fonterra (North Vic &amp; Riverina)'!$J13*DASHBOARD!$C10*DASHBOARD!$D10*0.01)+('Fonterra (North Vic &amp; Riverina)'!$K13*DASHBOARD!$C10*DASHBOARD!$E10*0.01)+('Fonterra (North Vic &amp; Riverina)'!$L13*0.01*DASHBOARD!$C10*DASHBOARD!$D10)+('Fonterra (North Vic &amp; Riverina)'!$M29*DASHBOARD!$C10*DASHBOARD!$E10*0.01)</f>
        <v>56001.599999999999</v>
      </c>
      <c r="V66" s="13">
        <f>('Fonterra (North Vic &amp; Riverina)'!$H29*DASHBOARD!$C10*DASHBOARD!$D10*0.01)+('Fonterra (North Vic &amp; Riverina)'!$I29*DASHBOARD!$C10*DASHBOARD!$E10*0.01)+('Fonterra (North Vic &amp; Riverina)'!$J29*DASHBOARD!$C10*DASHBOARD!$D10*0.01)+('Fonterra (North Vic &amp; Riverina)'!$K29*DASHBOARD!$C10*DASHBOARD!$E10*0.01)+('Fonterra (North Vic &amp; Riverina)'!$L29*DASHBOARD!$C10*DASHBOARD!$D10*0.01)+('Fonterra (North Vic &amp; Riverina)'!$M29*DASHBOARD!$C10*DASHBOARD!$E10*0.01)</f>
        <v>56001.599999999999</v>
      </c>
      <c r="W66" s="13">
        <f>('Riverina Fresh'!$C10*DASHBOARD!$C10*DASHBOARD!$D10*0.01)+('Riverina Fresh'!$D10*DASHBOARD!$E10*DASHBOARD!$C10*0.01)+('Riverina Fresh'!$E10*DASHBOARD!$C10*DASHBOARD!$D10*0.01)+('Riverina Fresh'!$F10*DASHBOARD!$C10*DASHBOARD!$E10*0.01)-('Riverina Fresh'!$H10*DASHBOARD!$C10)-('Riverina Fresh'!G10)</f>
        <v>57669.98000000001</v>
      </c>
      <c r="X66" s="13">
        <f>('KY Valley (North Vic)'!$D9*DASHBOARD!$C10)+('KY Valley (North Vic)'!$E9*DASHBOARD!$C10*DASHBOARD!$D10*0.01)</f>
        <v>70000</v>
      </c>
      <c r="Y66" s="13">
        <f>('Lactalis (Vic, Tas, &amp; Riverina)'!$C13*DASHBOARD!$C10*DASHBOARD!$D10*0.01)+('Lactalis (Vic, Tas, &amp; Riverina)'!$D13*DASHBOARD!$C10*DASHBOARD!$E10*0.01)+('Lactalis (Vic, Tas, &amp; Riverina)'!$E13*DASHBOARD!$C10*DASHBOARD!$D10*0.01)+('Lactalis (Vic, Tas, &amp; Riverina)'!$F13*DASHBOARD!$C10*DASHBOARD!$E10*0.01)</f>
        <v>60120</v>
      </c>
      <c r="Z66" s="13">
        <f>('Lactalis (NSW)'!$C8*DASHBOARD!$C10)+('Lactalis (NSW)'!$D8*DASHBOARD!$C10)+('Lactalis (NSW)'!$E8*DASHBOARD!$C10)+('Lactalis (NSW)'!$F8*DASHBOARD!$C10*DASHBOARD!$D10*0.01)+('Lactalis (NSW)'!$G8*DASHBOARD!$C10*DASHBOARD!$E10*0.01)</f>
        <v>71343.69</v>
      </c>
      <c r="AA66" s="13">
        <f>(Noumi!$C9*DASHBOARD!$C10*DASHBOARD!$D10*0.01)+(Noumi!$D9*DASHBOARD!$C10*DASHBOARD!$E10*0.01)</f>
        <v>58312</v>
      </c>
      <c r="AB66" s="13">
        <f>('Saputo (North Vic)'!$C9*DASHBOARD!$C10*DASHBOARD!$D10*0.01)+('Saputo (North Vic)'!$D9*DASHBOARD!$C10*DASHBOARD!$E10*0.01)+('Saputo (North Vic)'!$E9*DASHBOARD!$C10*DASHBOARD!$D10*0.01)+('Saputo (North Vic)'!$F9*DASHBOARD!$C10*DASHBOARD!$E10*0.01)+('Saputo (North Vic)'!$G9*DASHBOARD!$C10*DASHBOARD!$D10*0.01)+('Saputo (North Vic)'!$H9*DASHBOARD!$C10*DASHBOARD!$E10*0.01)</f>
        <v>54600</v>
      </c>
      <c r="AC66" s="13">
        <f>(DASHBOARD!$C10*DASHBOARD!$D10*0.01*'Saputo (North Vic)'!$C29)+(DASHBOARD!$C10*DASHBOARD!$E10*0.01*'Saputo (North Vic)'!$D29)</f>
        <v>57824</v>
      </c>
    </row>
    <row r="67" spans="3:29">
      <c r="C67" s="11"/>
      <c r="D67" s="39" t="s">
        <v>66</v>
      </c>
      <c r="E67" s="13">
        <f>('Lactalis (QLD)'!$D10*DASHBOARD!$C11)+('Lactalis (QLD)'!$E10*DASHBOARD!$C11*DASHBOARD!$D11*0.01)+('Lactalis (QLD)'!$F10*DASHBOARD!$C11*DASHBOARD!$E11*0.01)+('Lactalis (QLD)'!$G10*DASHBOARD!$C11*DASHBOARD!$E11*0.01)+('Lactalis (QLD)'!$H10*DASHBOARD!$C11)</f>
        <v>86275.64</v>
      </c>
      <c r="F67" s="13">
        <f>('Lactalis (NSW)'!$C9*DASHBOARD!$C11)+('Lactalis (NSW)'!$D9*DASHBOARD!$C11)+('Lactalis (NSW)'!$E9*DASHBOARD!$C11)+('Lactalis (NSW)'!$F9*DASHBOARD!$C11*DASHBOARD!$D11*0.01)+('Lactalis (NSW)'!$G9*DASHBOARD!$C11*DASHBOARD!$E11*0.01)</f>
        <v>76343.69</v>
      </c>
      <c r="G67" s="13">
        <f>('Norco (South Region)'!$E11*DASHBOARD!$C11*DASHBOARD!$D11*0.01)+('Norco (South Region)'!$F11*DASHBOARD!$C11*DASHBOARD!$E11*0.01)+('Norco (South Region)'!$G11*DASHBOARD!$C11)+('Norco (South Region)'!$H11*DASHBOARD!$F11)+('Norco (South Region)'!$I11*DASHBOARD!$C11)+('Norco (South Region)'!$J11*DASHBOARD!$C11)-('Norco (South Region)'!$K11)</f>
        <v>81814</v>
      </c>
      <c r="H67" s="13">
        <f>('Saputo (NSW Metro)'!$C10*DASHBOARD!$C11*DASHBOARD!$D11*0.01)+('Saputo (NSW Metro)'!$D10*DASHBOARD!$C11*DASHBOARD!$E11*0.01)+('Saputo (NSW Metro)'!$E10*DASHBOARD!$C11*DASHBOARD!$D11*0.01)+('Saputo (NSW Metro)'!$F10*DASHBOARD!$C11*DASHBOARD!$E11*0.01)</f>
        <v>76856</v>
      </c>
      <c r="J67" s="39" t="s">
        <v>66</v>
      </c>
      <c r="K67" s="13">
        <f>('Bega (North Vic &amp; Riverina)'!$D10*DASHBOARD!$C11*DASHBOARD!$D11*0.01)+('Bega (North Vic &amp; Riverina)'!$E10*DASHBOARD!$C11*DASHBOARD!$E11*0.01)+('Bega (North Vic &amp; Riverina)'!$F10*DASHBOARD!$C11*DASHBOARD!$D11*0.01)+('Bega (North Vic &amp; Riverina)'!$G10*DASHBOARD!$C11*DASHBOARD!$E11*0.01)-('Bega (North Vic &amp; Riverina)'!$H10)</f>
        <v>56312</v>
      </c>
      <c r="L67" s="13">
        <f>(DASHBOARD!$C11*DASHBOARD!$D11*0.01*'Bega (North Vic &amp; Riverina)'!$D26)+('Bega (North Vic &amp; Riverina)'!$E26*DASHBOARD!$C11*DASHBOARD!$E11*0.01)</f>
        <v>57033.599999999999</v>
      </c>
      <c r="M67" s="13">
        <f>('Bega (North Vic &amp; Riverina)'!$D41*DASHBOARD!$C11*DASHBOARD!$D11*0.01)+(DASHBOARD!$C11*DASHBOARD!$E11*0.01*'Bega (North Vic &amp; Riverina)'!$E41)</f>
        <v>57240</v>
      </c>
      <c r="N67" s="13">
        <f>(ACM!$D10*DASHBOARD!$D11*DASHBOARD!$C11*0.01)+(ACM!$E10*DASHBOARD!$E11*DASHBOARD!$C11*0.01)+(ACM!$F10*DASHBOARD!$C11)</f>
        <v>57564</v>
      </c>
      <c r="O67" s="13">
        <f>(Bulla!$C9*DASHBOARD!$F11)</f>
        <v>62280.000000000007</v>
      </c>
      <c r="P67" s="13">
        <f>(Bulla!$C23*DASHBOARD!$C11*DASHBOARD!$D11*0.01)+(Bulla!$D23*DASHBOARD!$C11*DASHBOARD!$E11*0.01)</f>
        <v>62278.400000000001</v>
      </c>
      <c r="Q67" s="13">
        <f>('Coles (Vic, Riverina, &amp; SE SA)'!$D11*DASHBOARD!$C11*DASHBOARD!$D11*0.01)+('Coles (Vic, Riverina, &amp; SE SA)'!$E11*DASHBOARD!$C11*DASHBOARD!$E11*0.01)-('Coles (Vic, Riverina, &amp; SE SA)'!$F11)</f>
        <v>75435</v>
      </c>
      <c r="R67" s="13">
        <f>('DFMC (Vic)'!$F11*DASHBOARD!$C11*DASHBOARD!$D11*0.01)+('DFMC (Vic)'!$G11*DASHBOARD!$C11*DASHBOARD!$E11*0.01)+('DFMC (Vic)'!$H11*DASHBOARD!$F11)</f>
        <v>51882.400000000009</v>
      </c>
      <c r="S67" s="13">
        <f>('DFMC (Vic)'!$F31*DASHBOARD!$C11*DASHBOARD!$D11*0.01)+('DFMC (Vic)'!$G31*DASHBOARD!$C11*DASHBOARD!$E11*0.01)+('DFMC (Vic)'!$H31*DASHBOARD!$F11)</f>
        <v>55191.200000000004</v>
      </c>
      <c r="T67" s="13">
        <f>('DFMC (Vic)'!$F45*DASHBOARD!$C11*DASHBOARD!$D11*0.01)+('DFMC (Vic)'!$G45*DASHBOARD!$C11*DASHBOARD!$E11*0.01)</f>
        <v>55190.400000000001</v>
      </c>
      <c r="U67" s="13">
        <f>('Fonterra (North Vic &amp; Riverina)'!$H14*DASHBOARD!$C11*DASHBOARD!$D11*0.01)+('Fonterra (North Vic &amp; Riverina)'!$I14*DASHBOARD!$C11*DASHBOARD!$E11*0.01)+('Fonterra (North Vic &amp; Riverina)'!$J14*DASHBOARD!$C11*DASHBOARD!$D11*0.01)+('Fonterra (North Vic &amp; Riverina)'!$K14*DASHBOARD!$C11*DASHBOARD!$E11*0.01)+('Fonterra (North Vic &amp; Riverina)'!$L14*0.01*DASHBOARD!$C11*DASHBOARD!$D11)+('Fonterra (North Vic &amp; Riverina)'!$M30*DASHBOARD!$C11*DASHBOARD!$E11*0.01)</f>
        <v>61161.599999999999</v>
      </c>
      <c r="V67" s="13">
        <f>('Fonterra (North Vic &amp; Riverina)'!$H30*DASHBOARD!$C11*DASHBOARD!$D11*0.01)+('Fonterra (North Vic &amp; Riverina)'!$I30*DASHBOARD!$C11*DASHBOARD!$E11*0.01)+('Fonterra (North Vic &amp; Riverina)'!$J30*DASHBOARD!$C11*DASHBOARD!$D11*0.01)+('Fonterra (North Vic &amp; Riverina)'!$K30*DASHBOARD!$C11*DASHBOARD!$E11*0.01)+('Fonterra (North Vic &amp; Riverina)'!$L30*DASHBOARD!$C11*DASHBOARD!$D11*0.01)+('Fonterra (North Vic &amp; Riverina)'!$M30*DASHBOARD!$C11*DASHBOARD!$E11*0.01)</f>
        <v>56001.599999999999</v>
      </c>
      <c r="W67" s="13">
        <f>('Riverina Fresh'!$C11*DASHBOARD!$C11*DASHBOARD!$D11*0.01)+('Riverina Fresh'!$D11*DASHBOARD!$E11*DASHBOARD!$C11*0.01)+('Riverina Fresh'!$E11*DASHBOARD!$C11*DASHBOARD!$D11*0.01)+('Riverina Fresh'!$F11*DASHBOARD!$C11*DASHBOARD!$E11*0.01)-('Riverina Fresh'!$H11*DASHBOARD!$C11)-('Riverina Fresh'!G11)</f>
        <v>57669.98000000001</v>
      </c>
      <c r="X67" s="13">
        <f>('KY Valley (North Vic)'!$D10*DASHBOARD!$C11)+('KY Valley (North Vic)'!$E10*DASHBOARD!$C11*DASHBOARD!$D11*0.01)</f>
        <v>73100</v>
      </c>
      <c r="Y67" s="13">
        <f>('Lactalis (Vic, Tas, &amp; Riverina)'!$C14*DASHBOARD!$C11*DASHBOARD!$D11*0.01)+('Lactalis (Vic, Tas, &amp; Riverina)'!$D14*DASHBOARD!$C11*DASHBOARD!$E11*0.01)+('Lactalis (Vic, Tas, &amp; Riverina)'!$E14*DASHBOARD!$C11*DASHBOARD!$D11*0.01)+('Lactalis (Vic, Tas, &amp; Riverina)'!$F14*DASHBOARD!$C11*DASHBOARD!$E11*0.01)</f>
        <v>72544</v>
      </c>
      <c r="Z67" s="13">
        <f>('Lactalis (NSW)'!$C9*DASHBOARD!$C11)+('Lactalis (NSW)'!$D9*DASHBOARD!$C11)+('Lactalis (NSW)'!$E9*DASHBOARD!$C11)+('Lactalis (NSW)'!$F9*DASHBOARD!$C11*DASHBOARD!$D11*0.01)+('Lactalis (NSW)'!$G9*DASHBOARD!$C11*DASHBOARD!$E11*0.01)</f>
        <v>76343.69</v>
      </c>
      <c r="AA67" s="13">
        <f>(Noumi!$C10*DASHBOARD!$C11*DASHBOARD!$D11*0.01)+(Noumi!$D10*DASHBOARD!$C11*DASHBOARD!$E11*0.01)</f>
        <v>58312</v>
      </c>
      <c r="AB67" s="13">
        <f>('Saputo (North Vic)'!$C10*DASHBOARD!$C11*DASHBOARD!$D11*0.01)+('Saputo (North Vic)'!$D10*DASHBOARD!$C11*DASHBOARD!$E11*0.01)+('Saputo (North Vic)'!$E10*DASHBOARD!$C11*DASHBOARD!$D11*0.01)+('Saputo (North Vic)'!$F10*DASHBOARD!$C11*DASHBOARD!$E11*0.01)+('Saputo (North Vic)'!$G10*DASHBOARD!$C11*DASHBOARD!$D11*0.01)+('Saputo (North Vic)'!$H10*DASHBOARD!$C11*DASHBOARD!$E11*0.01)</f>
        <v>62816</v>
      </c>
      <c r="AC67" s="13">
        <f>(DASHBOARD!$C11*DASHBOARD!$D11*0.01*'Saputo (North Vic)'!$C30)+(DASHBOARD!$C11*DASHBOARD!$E11*0.01*'Saputo (North Vic)'!$D30)</f>
        <v>57824</v>
      </c>
    </row>
    <row r="68" spans="3:29">
      <c r="C68" s="11"/>
      <c r="D68" s="39" t="s">
        <v>67</v>
      </c>
      <c r="E68" s="13">
        <f>('Lactalis (QLD)'!$D11*DASHBOARD!$C12)+('Lactalis (QLD)'!$E11*DASHBOARD!$C12*DASHBOARD!$D12*0.01)+('Lactalis (QLD)'!$F11*DASHBOARD!$C12*DASHBOARD!$E12*0.01)+('Lactalis (QLD)'!$G11*DASHBOARD!$C12*DASHBOARD!$E12*0.01)+('Lactalis (QLD)'!$H11*DASHBOARD!$C12)</f>
        <v>86275.64</v>
      </c>
      <c r="F68" s="13">
        <f>('Lactalis (NSW)'!$C10*DASHBOARD!$C12)+('Lactalis (NSW)'!$D10*DASHBOARD!$C12)+('Lactalis (NSW)'!$E10*DASHBOARD!$C12)+('Lactalis (NSW)'!$F10*DASHBOARD!$C12*DASHBOARD!$D12*0.01)+('Lactalis (NSW)'!$G10*DASHBOARD!$C12*DASHBOARD!$E12*0.01)</f>
        <v>76343.69</v>
      </c>
      <c r="G68" s="13">
        <f>('Norco (South Region)'!$E12*DASHBOARD!$C12*DASHBOARD!$D12*0.01)+('Norco (South Region)'!$F12*DASHBOARD!$C12*DASHBOARD!$E12*0.01)+('Norco (South Region)'!$G12*DASHBOARD!$C12)+('Norco (South Region)'!$H12*DASHBOARD!$F12)+('Norco (South Region)'!$I12*DASHBOARD!$C12)+('Norco (South Region)'!$J12*DASHBOARD!$C12)-('Norco (South Region)'!$K12)</f>
        <v>83964</v>
      </c>
      <c r="H68" s="13">
        <f>('Saputo (NSW Metro)'!$C11*DASHBOARD!$C12*DASHBOARD!$D12*0.01)+('Saputo (NSW Metro)'!$D11*DASHBOARD!$C12*DASHBOARD!$E12*0.01)+('Saputo (NSW Metro)'!$E11*DASHBOARD!$C12*DASHBOARD!$D12*0.01)+('Saputo (NSW Metro)'!$F11*DASHBOARD!$C12*DASHBOARD!$E12*0.01)</f>
        <v>79768</v>
      </c>
      <c r="J68" s="39" t="s">
        <v>67</v>
      </c>
      <c r="K68" s="13">
        <f>('Bega (North Vic &amp; Riverina)'!$D11*DASHBOARD!$C12*DASHBOARD!$D12*0.01)+('Bega (North Vic &amp; Riverina)'!$E11*DASHBOARD!$C12*DASHBOARD!$E12*0.01)+('Bega (North Vic &amp; Riverina)'!$F11*DASHBOARD!$C12*DASHBOARD!$D12*0.01)+('Bega (North Vic &amp; Riverina)'!$G11*DASHBOARD!$C12*DASHBOARD!$E12*0.01)-('Bega (North Vic &amp; Riverina)'!$H11)</f>
        <v>56336</v>
      </c>
      <c r="L68" s="13">
        <f>(DASHBOARD!$C12*DASHBOARD!$D12*0.01*'Bega (North Vic &amp; Riverina)'!$D27)+('Bega (North Vic &amp; Riverina)'!$E27*DASHBOARD!$C12*DASHBOARD!$E12*0.01)</f>
        <v>57033.599999999999</v>
      </c>
      <c r="M68" s="13">
        <f>('Bega (North Vic &amp; Riverina)'!$D42*DASHBOARD!$C12*DASHBOARD!$D12*0.01)+(DASHBOARD!$C12*DASHBOARD!$E12*0.01*'Bega (North Vic &amp; Riverina)'!$E42)</f>
        <v>57240</v>
      </c>
      <c r="N68" s="13">
        <f>(ACM!$D11*DASHBOARD!$D12*DASHBOARD!$C12*0.01)+(ACM!$E11*DASHBOARD!$E12*DASHBOARD!$C12*0.01)+(ACM!$F11*DASHBOARD!$C12)</f>
        <v>57564</v>
      </c>
      <c r="O68" s="13">
        <f>(Bulla!$C10*DASHBOARD!$F12)</f>
        <v>62280.000000000007</v>
      </c>
      <c r="P68" s="13">
        <f>(Bulla!$C24*DASHBOARD!$C12*DASHBOARD!$D12*0.01)+(Bulla!$D24*DASHBOARD!$C12*DASHBOARD!$E12*0.01)</f>
        <v>62278.400000000001</v>
      </c>
      <c r="Q68" s="13">
        <f>('Coles (Vic, Riverina, &amp; SE SA)'!$D12*DASHBOARD!$C12*DASHBOARD!$D12*0.01)+('Coles (Vic, Riverina, &amp; SE SA)'!$E12*DASHBOARD!$C12*DASHBOARD!$E12*0.01)-('Coles (Vic, Riverina, &amp; SE SA)'!$F12)</f>
        <v>75660</v>
      </c>
      <c r="R68" s="13">
        <f>('DFMC (Vic)'!$F12*DASHBOARD!$C12*DASHBOARD!$D12*0.01)+('DFMC (Vic)'!$G12*DASHBOARD!$C12*DASHBOARD!$E12*0.01)+('DFMC (Vic)'!$H12*DASHBOARD!$F12)</f>
        <v>55040</v>
      </c>
      <c r="S68" s="13">
        <f>('DFMC (Vic)'!$F32*DASHBOARD!$C12*DASHBOARD!$D12*0.01)+('DFMC (Vic)'!$G32*DASHBOARD!$C12*DASHBOARD!$E12*0.01)+('DFMC (Vic)'!$H32*DASHBOARD!$F12)</f>
        <v>55191.200000000004</v>
      </c>
      <c r="T68" s="13">
        <f>('DFMC (Vic)'!$F46*DASHBOARD!$C12*DASHBOARD!$D12*0.01)+('DFMC (Vic)'!$G46*DASHBOARD!$C12*DASHBOARD!$E12*0.01)</f>
        <v>55190.400000000001</v>
      </c>
      <c r="U68" s="13">
        <f>('Fonterra (North Vic &amp; Riverina)'!$H15*DASHBOARD!$C12*DASHBOARD!$D12*0.01)+('Fonterra (North Vic &amp; Riverina)'!$I15*DASHBOARD!$C12*DASHBOARD!$E12*0.01)+('Fonterra (North Vic &amp; Riverina)'!$J15*DASHBOARD!$C12*DASHBOARD!$D12*0.01)+('Fonterra (North Vic &amp; Riverina)'!$K15*DASHBOARD!$C12*DASHBOARD!$E12*0.01)+('Fonterra (North Vic &amp; Riverina)'!$L15*0.01*DASHBOARD!$C12*DASHBOARD!$D12)+('Fonterra (North Vic &amp; Riverina)'!$M31*DASHBOARD!$C12*DASHBOARD!$E12*0.01)</f>
        <v>61161.599999999999</v>
      </c>
      <c r="V68" s="13">
        <f>('Fonterra (North Vic &amp; Riverina)'!$H31*DASHBOARD!$C12*DASHBOARD!$D12*0.01)+('Fonterra (North Vic &amp; Riverina)'!$I31*DASHBOARD!$C12*DASHBOARD!$E12*0.01)+('Fonterra (North Vic &amp; Riverina)'!$J31*DASHBOARD!$C12*DASHBOARD!$D12*0.01)+('Fonterra (North Vic &amp; Riverina)'!$K31*DASHBOARD!$C12*DASHBOARD!$E12*0.01)+('Fonterra (North Vic &amp; Riverina)'!$L31*DASHBOARD!$C12*DASHBOARD!$D12*0.01)+('Fonterra (North Vic &amp; Riverina)'!$M31*DASHBOARD!$C12*DASHBOARD!$E12*0.01)</f>
        <v>59569.599999999999</v>
      </c>
      <c r="W68" s="13">
        <f>('Riverina Fresh'!$C12*DASHBOARD!$C12*DASHBOARD!$D12*0.01)+('Riverina Fresh'!$D12*DASHBOARD!$E12*DASHBOARD!$C12*0.01)+('Riverina Fresh'!$E12*DASHBOARD!$C12*DASHBOARD!$D12*0.01)+('Riverina Fresh'!$F12*DASHBOARD!$C12*DASHBOARD!$E12*0.01)-('Riverina Fresh'!$H12*DASHBOARD!$C12)-('Riverina Fresh'!G12)</f>
        <v>57704.240000000005</v>
      </c>
      <c r="X68" s="13">
        <f>('KY Valley (North Vic)'!$D11*DASHBOARD!$C12)+('KY Valley (North Vic)'!$E11*DASHBOARD!$C12*DASHBOARD!$D12*0.01)</f>
        <v>77000</v>
      </c>
      <c r="Y68" s="13">
        <f>('Lactalis (Vic, Tas, &amp; Riverina)'!$C15*DASHBOARD!$C12*DASHBOARD!$D12*0.01)+('Lactalis (Vic, Tas, &amp; Riverina)'!$D15*DASHBOARD!$C12*DASHBOARD!$E12*0.01)+('Lactalis (Vic, Tas, &amp; Riverina)'!$E15*DASHBOARD!$C12*DASHBOARD!$D12*0.01)+('Lactalis (Vic, Tas, &amp; Riverina)'!$F15*DASHBOARD!$C12*DASHBOARD!$E12*0.01)</f>
        <v>72544</v>
      </c>
      <c r="Z68" s="13">
        <f>('Lactalis (NSW)'!$C10*DASHBOARD!$C12)+('Lactalis (NSW)'!$D10*DASHBOARD!$C12)+('Lactalis (NSW)'!$E10*DASHBOARD!$C12)+('Lactalis (NSW)'!$F10*DASHBOARD!$C12*DASHBOARD!$D12*0.01)+('Lactalis (NSW)'!$G10*DASHBOARD!$C12*DASHBOARD!$E12*0.01)</f>
        <v>76343.69</v>
      </c>
      <c r="AA68" s="13">
        <f>(Noumi!$C11*DASHBOARD!$C12*DASHBOARD!$D12*0.01)+(Noumi!$D11*DASHBOARD!$C12*DASHBOARD!$E12*0.01)</f>
        <v>58312</v>
      </c>
      <c r="AB68" s="13">
        <f>('Saputo (North Vic)'!$C11*DASHBOARD!$C12*DASHBOARD!$D12*0.01)+('Saputo (North Vic)'!$D11*DASHBOARD!$C12*DASHBOARD!$E12*0.01)+('Saputo (North Vic)'!$E11*DASHBOARD!$C12*DASHBOARD!$D12*0.01)+('Saputo (North Vic)'!$F11*DASHBOARD!$C12*DASHBOARD!$E12*0.01)+('Saputo (North Vic)'!$G11*DASHBOARD!$C12*DASHBOARD!$D12*0.01)+('Saputo (North Vic)'!$H11*DASHBOARD!$C12*DASHBOARD!$E12*0.01)</f>
        <v>62816</v>
      </c>
      <c r="AC68" s="13">
        <f>(DASHBOARD!$C12*DASHBOARD!$D12*0.01*'Saputo (North Vic)'!$C31)+(DASHBOARD!$C12*DASHBOARD!$E12*0.01*'Saputo (North Vic)'!$D31)</f>
        <v>57824</v>
      </c>
    </row>
    <row r="69" spans="3:29">
      <c r="C69" s="11"/>
      <c r="D69" s="39" t="s">
        <v>68</v>
      </c>
      <c r="E69" s="13">
        <f>('Lactalis (QLD)'!$D12*DASHBOARD!$C13)+('Lactalis (QLD)'!$E12*DASHBOARD!$C13*DASHBOARD!$D13*0.01)+('Lactalis (QLD)'!$F12*DASHBOARD!$C13*DASHBOARD!$E13*0.01)+('Lactalis (QLD)'!$G12*DASHBOARD!$C13*DASHBOARD!$E13*0.01)+('Lactalis (QLD)'!$H12*DASHBOARD!$C13)</f>
        <v>86275.64</v>
      </c>
      <c r="F69" s="13">
        <f>('Lactalis (NSW)'!$C11*DASHBOARD!$C13)+('Lactalis (NSW)'!$D11*DASHBOARD!$C13)+('Lactalis (NSW)'!$E11*DASHBOARD!$C13)+('Lactalis (NSW)'!$F11*DASHBOARD!$C13*DASHBOARD!$D13*0.01)+('Lactalis (NSW)'!$G11*DASHBOARD!$C13*DASHBOARD!$E13*0.01)</f>
        <v>76343.69</v>
      </c>
      <c r="G69" s="13">
        <f>('Norco (South Region)'!$E13*DASHBOARD!$C13*DASHBOARD!$D13*0.01)+('Norco (South Region)'!$F13*DASHBOARD!$C13*DASHBOARD!$E13*0.01)+('Norco (South Region)'!$G13*DASHBOARD!$C13)+('Norco (South Region)'!$H13*DASHBOARD!$F13)+('Norco (South Region)'!$I13*DASHBOARD!$C13)+('Norco (South Region)'!$J13*DASHBOARD!$C13)-('Norco (South Region)'!$K13)</f>
        <v>83814</v>
      </c>
      <c r="H69" s="13">
        <f>('Saputo (NSW Metro)'!$C12*DASHBOARD!$C13*DASHBOARD!$D13*0.01)+('Saputo (NSW Metro)'!$D12*DASHBOARD!$C13*DASHBOARD!$E13*0.01)+('Saputo (NSW Metro)'!$E12*DASHBOARD!$C13*DASHBOARD!$D13*0.01)+('Saputo (NSW Metro)'!$F12*DASHBOARD!$C13*DASHBOARD!$E13*0.01)</f>
        <v>82472</v>
      </c>
      <c r="J69" s="39" t="s">
        <v>68</v>
      </c>
      <c r="K69" s="13">
        <f>('Bega (North Vic &amp; Riverina)'!$D12*DASHBOARD!$C13*DASHBOARD!$D13*0.01)+('Bega (North Vic &amp; Riverina)'!$E12*DASHBOARD!$C13*DASHBOARD!$E13*0.01)+('Bega (North Vic &amp; Riverina)'!$F12*DASHBOARD!$C13*DASHBOARD!$D13*0.01)+('Bega (North Vic &amp; Riverina)'!$G12*DASHBOARD!$C13*DASHBOARD!$E13*0.01)-('Bega (North Vic &amp; Riverina)'!$H12)</f>
        <v>56312</v>
      </c>
      <c r="L69" s="13">
        <f>(DASHBOARD!$C13*DASHBOARD!$D13*0.01*'Bega (North Vic &amp; Riverina)'!$D28)+('Bega (North Vic &amp; Riverina)'!$E28*DASHBOARD!$C13*DASHBOARD!$E13*0.01)</f>
        <v>57033.599999999999</v>
      </c>
      <c r="M69" s="13">
        <f>('Bega (North Vic &amp; Riverina)'!$D43*DASHBOARD!$C13*DASHBOARD!$D13*0.01)+(DASHBOARD!$C13*DASHBOARD!$E13*0.01*'Bega (North Vic &amp; Riverina)'!$E43)</f>
        <v>57240</v>
      </c>
      <c r="N69" s="13">
        <f>(ACM!$D12*DASHBOARD!$D13*DASHBOARD!$C13*0.01)+(ACM!$E12*DASHBOARD!$E13*DASHBOARD!$C13*0.01)+(ACM!$F12*DASHBOARD!$C13)</f>
        <v>57564</v>
      </c>
      <c r="O69" s="13">
        <f>(Bulla!$C11*DASHBOARD!$F13)</f>
        <v>62280.000000000007</v>
      </c>
      <c r="P69" s="13">
        <f>(Bulla!$C25*DASHBOARD!$C13*DASHBOARD!$D13*0.01)+(Bulla!$D25*DASHBOARD!$C13*DASHBOARD!$E13*0.01)</f>
        <v>62278.400000000001</v>
      </c>
      <c r="Q69" s="13">
        <f>('Coles (Vic, Riverina, &amp; SE SA)'!$D13*DASHBOARD!$C13*DASHBOARD!$D13*0.01)+('Coles (Vic, Riverina, &amp; SE SA)'!$E13*DASHBOARD!$C13*DASHBOARD!$E13*0.01)-('Coles (Vic, Riverina, &amp; SE SA)'!$F13)</f>
        <v>75435</v>
      </c>
      <c r="R69" s="13">
        <f>('DFMC (Vic)'!$F13*DASHBOARD!$C13*DASHBOARD!$D13*0.01)+('DFMC (Vic)'!$G13*DASHBOARD!$C13*DASHBOARD!$E13*0.01)+('DFMC (Vic)'!$H13*DASHBOARD!$F13)</f>
        <v>57672.800000000003</v>
      </c>
      <c r="S69" s="13">
        <f>('DFMC (Vic)'!$F33*DASHBOARD!$C13*DASHBOARD!$D13*0.01)+('DFMC (Vic)'!$G33*DASHBOARD!$C13*DASHBOARD!$E13*0.01)+('DFMC (Vic)'!$H33*DASHBOARD!$F13)</f>
        <v>55191.200000000004</v>
      </c>
      <c r="T69" s="13">
        <f>('DFMC (Vic)'!$F47*DASHBOARD!$C13*DASHBOARD!$D13*0.01)+('DFMC (Vic)'!$G47*DASHBOARD!$C13*DASHBOARD!$E13*0.01)</f>
        <v>55190.400000000001</v>
      </c>
      <c r="U69" s="13">
        <f>('Fonterra (North Vic &amp; Riverina)'!$H16*DASHBOARD!$C13*DASHBOARD!$D13*0.01)+('Fonterra (North Vic &amp; Riverina)'!$I16*DASHBOARD!$C13*DASHBOARD!$E13*0.01)+('Fonterra (North Vic &amp; Riverina)'!$J16*DASHBOARD!$C13*DASHBOARD!$D13*0.01)+('Fonterra (North Vic &amp; Riverina)'!$K16*DASHBOARD!$C13*DASHBOARD!$E13*0.01)+('Fonterra (North Vic &amp; Riverina)'!$L16*0.01*DASHBOARD!$C13*DASHBOARD!$D13)+('Fonterra (North Vic &amp; Riverina)'!$M32*DASHBOARD!$C13*DASHBOARD!$E13*0.01)</f>
        <v>61161.599999999999</v>
      </c>
      <c r="V69" s="13">
        <f>('Fonterra (North Vic &amp; Riverina)'!$H32*DASHBOARD!$C13*DASHBOARD!$D13*0.01)+('Fonterra (North Vic &amp; Riverina)'!$I32*DASHBOARD!$C13*DASHBOARD!$E13*0.01)+('Fonterra (North Vic &amp; Riverina)'!$J32*DASHBOARD!$C13*DASHBOARD!$D13*0.01)+('Fonterra (North Vic &amp; Riverina)'!$K32*DASHBOARD!$C13*DASHBOARD!$E13*0.01)+('Fonterra (North Vic &amp; Riverina)'!$L32*DASHBOARD!$C13*DASHBOARD!$D13*0.01)+('Fonterra (North Vic &amp; Riverina)'!$M32*DASHBOARD!$C13*DASHBOARD!$E13*0.01)</f>
        <v>62113.599999999999</v>
      </c>
      <c r="W69" s="13">
        <f>('Riverina Fresh'!$C13*DASHBOARD!$C13*DASHBOARD!$D13*0.01)+('Riverina Fresh'!$D13*DASHBOARD!$E13*DASHBOARD!$C13*0.01)+('Riverina Fresh'!$E13*DASHBOARD!$C13*DASHBOARD!$D13*0.01)+('Riverina Fresh'!$F13*DASHBOARD!$C13*DASHBOARD!$E13*0.01)-('Riverina Fresh'!$H13*DASHBOARD!$C13)-('Riverina Fresh'!G13)</f>
        <v>57669.98000000001</v>
      </c>
      <c r="X69" s="13">
        <f>('KY Valley (North Vic)'!$D12*DASHBOARD!$C13)+('KY Valley (North Vic)'!$E12*DASHBOARD!$C13*DASHBOARD!$D13*0.01)</f>
        <v>77000</v>
      </c>
      <c r="Y69" s="13">
        <f>('Lactalis (Vic, Tas, &amp; Riverina)'!$C16*DASHBOARD!$C13*DASHBOARD!$D13*0.01)+('Lactalis (Vic, Tas, &amp; Riverina)'!$D16*DASHBOARD!$C13*DASHBOARD!$E13*0.01)+('Lactalis (Vic, Tas, &amp; Riverina)'!$E16*DASHBOARD!$C13*DASHBOARD!$D13*0.01)+('Lactalis (Vic, Tas, &amp; Riverina)'!$F16*DASHBOARD!$C13*DASHBOARD!$E13*0.01)</f>
        <v>72544</v>
      </c>
      <c r="Z69" s="13">
        <f>('Lactalis (NSW)'!$C11*DASHBOARD!$C13)+('Lactalis (NSW)'!$D11*DASHBOARD!$C13)+('Lactalis (NSW)'!$E11*DASHBOARD!$C13)+('Lactalis (NSW)'!$F11*DASHBOARD!$C13*DASHBOARD!$D13*0.01)+('Lactalis (NSW)'!$G11*DASHBOARD!$C13*DASHBOARD!$E13*0.01)</f>
        <v>76343.69</v>
      </c>
      <c r="AA69" s="13">
        <f>(Noumi!$C12*DASHBOARD!$C13*DASHBOARD!$D13*0.01)+(Noumi!$D12*DASHBOARD!$C13*DASHBOARD!$E13*0.01)</f>
        <v>58312</v>
      </c>
      <c r="AB69" s="13">
        <f>('Saputo (North Vic)'!$C12*DASHBOARD!$C13*DASHBOARD!$D13*0.01)+('Saputo (North Vic)'!$D12*DASHBOARD!$C13*DASHBOARD!$E13*0.01)+('Saputo (North Vic)'!$E12*DASHBOARD!$C13*DASHBOARD!$D13*0.01)+('Saputo (North Vic)'!$F12*DASHBOARD!$C13*DASHBOARD!$E13*0.01)+('Saputo (North Vic)'!$G12*DASHBOARD!$C13*DASHBOARD!$D13*0.01)+('Saputo (North Vic)'!$H12*DASHBOARD!$C13*DASHBOARD!$E13*0.01)</f>
        <v>62816</v>
      </c>
      <c r="AC69" s="13">
        <f>(DASHBOARD!$C13*DASHBOARD!$D13*0.01*'Saputo (North Vic)'!$C32)+(DASHBOARD!$C13*DASHBOARD!$E13*0.01*'Saputo (North Vic)'!$D32)</f>
        <v>57824</v>
      </c>
    </row>
    <row r="70" spans="3:29">
      <c r="C70" s="11"/>
      <c r="D70" s="39" t="s">
        <v>69</v>
      </c>
      <c r="E70" s="13">
        <f>('Lactalis (QLD)'!$D13*DASHBOARD!$C14)+('Lactalis (QLD)'!$E13*DASHBOARD!$C14*DASHBOARD!$D14*0.01)+('Lactalis (QLD)'!$F13*DASHBOARD!$C14*DASHBOARD!$E14*0.01)+('Lactalis (QLD)'!$G13*DASHBOARD!$C14*DASHBOARD!$E14*0.01)+('Lactalis (QLD)'!$H13*DASHBOARD!$C14)</f>
        <v>86275.64</v>
      </c>
      <c r="F70" s="13">
        <f>('Lactalis (NSW)'!$C12*DASHBOARD!$C14)+('Lactalis (NSW)'!$D12*DASHBOARD!$C14)+('Lactalis (NSW)'!$E12*DASHBOARD!$C14)+('Lactalis (NSW)'!$F12*DASHBOARD!$C14*DASHBOARD!$D14*0.01)+('Lactalis (NSW)'!$G12*DASHBOARD!$C14*DASHBOARD!$E14*0.01)</f>
        <v>76343.69</v>
      </c>
      <c r="G70" s="13">
        <f>('Norco (South Region)'!$E14*DASHBOARD!$C14*DASHBOARD!$D14*0.01)+('Norco (South Region)'!$F14*DASHBOARD!$C14*DASHBOARD!$E14*0.01)+('Norco (South Region)'!$G14*DASHBOARD!$C14)+('Norco (South Region)'!$H14*DASHBOARD!$F14)+('Norco (South Region)'!$I14*DASHBOARD!$C14)+('Norco (South Region)'!$J14*DASHBOARD!$C14)-('Norco (South Region)'!$K14)</f>
        <v>83864</v>
      </c>
      <c r="H70" s="13">
        <f>('Saputo (NSW Metro)'!$C13*DASHBOARD!$C14*DASHBOARD!$D14*0.01)+('Saputo (NSW Metro)'!$D13*DASHBOARD!$C14*DASHBOARD!$E14*0.01)+('Saputo (NSW Metro)'!$E13*DASHBOARD!$C14*DASHBOARD!$D14*0.01)+('Saputo (NSW Metro)'!$F13*DASHBOARD!$C14*DASHBOARD!$E14*0.01)</f>
        <v>82472</v>
      </c>
      <c r="J70" s="39" t="s">
        <v>69</v>
      </c>
      <c r="K70" s="13">
        <f>('Bega (North Vic &amp; Riverina)'!$D13*DASHBOARD!$C14*DASHBOARD!$D14*0.01)+('Bega (North Vic &amp; Riverina)'!$E13*DASHBOARD!$C14*DASHBOARD!$E14*0.01)+('Bega (North Vic &amp; Riverina)'!$F13*DASHBOARD!$C14*DASHBOARD!$D14*0.01)+('Bega (North Vic &amp; Riverina)'!$G13*DASHBOARD!$C14*DASHBOARD!$E14*0.01)-('Bega (North Vic &amp; Riverina)'!$H13)</f>
        <v>56320</v>
      </c>
      <c r="L70" s="13">
        <f>(DASHBOARD!$C14*DASHBOARD!$D14*0.01*'Bega (North Vic &amp; Riverina)'!$D29)+('Bega (North Vic &amp; Riverina)'!$E29*DASHBOARD!$C14*DASHBOARD!$E14*0.01)</f>
        <v>57033.599999999999</v>
      </c>
      <c r="M70" s="13">
        <f>('Bega (North Vic &amp; Riverina)'!$D44*DASHBOARD!$C14*DASHBOARD!$D14*0.01)+(DASHBOARD!$C14*DASHBOARD!$E14*0.01*'Bega (North Vic &amp; Riverina)'!$E44)</f>
        <v>57240</v>
      </c>
      <c r="N70" s="13">
        <f>(ACM!$D13*DASHBOARD!$D14*DASHBOARD!$C14*0.01)+(ACM!$E13*DASHBOARD!$E14*DASHBOARD!$C14*0.01)+(ACM!$F13*DASHBOARD!$C14)</f>
        <v>57564</v>
      </c>
      <c r="O70" s="13">
        <f>(Bulla!$C12*DASHBOARD!$F14)</f>
        <v>62280.000000000007</v>
      </c>
      <c r="P70" s="13">
        <f>(Bulla!$C26*DASHBOARD!$C14*DASHBOARD!$D14*0.01)+(Bulla!$D26*DASHBOARD!$C14*DASHBOARD!$E14*0.01)</f>
        <v>62278.400000000001</v>
      </c>
      <c r="Q70" s="13">
        <f>('Coles (Vic, Riverina, &amp; SE SA)'!$D14*DASHBOARD!$C14*DASHBOARD!$D14*0.01)+('Coles (Vic, Riverina, &amp; SE SA)'!$E14*DASHBOARD!$C14*DASHBOARD!$E14*0.01)-('Coles (Vic, Riverina, &amp; SE SA)'!$F14)</f>
        <v>75510</v>
      </c>
      <c r="R70" s="13">
        <f>('DFMC (Vic)'!$F14*DASHBOARD!$C14*DASHBOARD!$D14*0.01)+('DFMC (Vic)'!$G14*DASHBOARD!$C14*DASHBOARD!$E14*0.01)+('DFMC (Vic)'!$H14*DASHBOARD!$F14)</f>
        <v>59605.600000000006</v>
      </c>
      <c r="S70" s="13">
        <f>('DFMC (Vic)'!$F34*DASHBOARD!$C14*DASHBOARD!$D14*0.01)+('DFMC (Vic)'!$G34*DASHBOARD!$C14*DASHBOARD!$E14*0.01)+('DFMC (Vic)'!$H34*DASHBOARD!$F14)</f>
        <v>55191.200000000004</v>
      </c>
      <c r="T70" s="13">
        <f>('DFMC (Vic)'!$F48*DASHBOARD!$C14*DASHBOARD!$D14*0.01)+('DFMC (Vic)'!$G48*DASHBOARD!$C14*DASHBOARD!$E14*0.01)</f>
        <v>55190.400000000001</v>
      </c>
      <c r="U70" s="13">
        <f>('Fonterra (North Vic &amp; Riverina)'!$H17*DASHBOARD!$C14*DASHBOARD!$D14*0.01)+('Fonterra (North Vic &amp; Riverina)'!$I17*DASHBOARD!$C14*DASHBOARD!$E14*0.01)+('Fonterra (North Vic &amp; Riverina)'!$J17*DASHBOARD!$C14*DASHBOARD!$D14*0.01)+('Fonterra (North Vic &amp; Riverina)'!$K17*DASHBOARD!$C14*DASHBOARD!$E14*0.01)+('Fonterra (North Vic &amp; Riverina)'!$L17*0.01*DASHBOARD!$C14*DASHBOARD!$D14)+('Fonterra (North Vic &amp; Riverina)'!$M33*DASHBOARD!$C14*DASHBOARD!$E14*0.01)</f>
        <v>61161.599999999999</v>
      </c>
      <c r="V70" s="13">
        <f>('Fonterra (North Vic &amp; Riverina)'!$H33*DASHBOARD!$C14*DASHBOARD!$D14*0.01)+('Fonterra (North Vic &amp; Riverina)'!$I33*DASHBOARD!$C14*DASHBOARD!$E14*0.01)+('Fonterra (North Vic &amp; Riverina)'!$J33*DASHBOARD!$C14*DASHBOARD!$D14*0.01)+('Fonterra (North Vic &amp; Riverina)'!$K33*DASHBOARD!$C14*DASHBOARD!$E14*0.01)+('Fonterra (North Vic &amp; Riverina)'!$L33*DASHBOARD!$C14*DASHBOARD!$D14*0.01)+('Fonterra (North Vic &amp; Riverina)'!$M33*DASHBOARD!$C14*DASHBOARD!$E14*0.01)</f>
        <v>63457.599999999999</v>
      </c>
      <c r="W70" s="13">
        <f>('Riverina Fresh'!$C14*DASHBOARD!$C14*DASHBOARD!$D14*0.01)+('Riverina Fresh'!$D14*DASHBOARD!$E14*DASHBOARD!$C14*0.01)+('Riverina Fresh'!$E14*DASHBOARD!$C14*DASHBOARD!$D14*0.01)+('Riverina Fresh'!$F14*DASHBOARD!$C14*DASHBOARD!$E14*0.01)-('Riverina Fresh'!$H14*DASHBOARD!$C14)-('Riverina Fresh'!G14)</f>
        <v>57681.400000000009</v>
      </c>
      <c r="X70" s="13">
        <f>('KY Valley (North Vic)'!$D13*DASHBOARD!$C14)+('KY Valley (North Vic)'!$E13*DASHBOARD!$C14*DASHBOARD!$D14*0.01)</f>
        <v>77000</v>
      </c>
      <c r="Y70" s="13">
        <f>('Lactalis (Vic, Tas, &amp; Riverina)'!$C17*DASHBOARD!$C14*DASHBOARD!$D14*0.01)+('Lactalis (Vic, Tas, &amp; Riverina)'!$D17*DASHBOARD!$C14*DASHBOARD!$E14*0.01)+('Lactalis (Vic, Tas, &amp; Riverina)'!$E17*DASHBOARD!$C14*DASHBOARD!$D14*0.01)+('Lactalis (Vic, Tas, &amp; Riverina)'!$F17*DASHBOARD!$C14*DASHBOARD!$E14*0.01)</f>
        <v>72544</v>
      </c>
      <c r="Z70" s="13">
        <f>('Lactalis (NSW)'!$C12*DASHBOARD!$C14)+('Lactalis (NSW)'!$D12*DASHBOARD!$C14)+('Lactalis (NSW)'!$E12*DASHBOARD!$C14)+('Lactalis (NSW)'!$F12*DASHBOARD!$C14*DASHBOARD!$D14*0.01)+('Lactalis (NSW)'!$G12*DASHBOARD!$C14*DASHBOARD!$E14*0.01)</f>
        <v>76343.69</v>
      </c>
      <c r="AA70" s="13">
        <f>(Noumi!$C13*DASHBOARD!$C14*DASHBOARD!$D14*0.01)+(Noumi!$D13*DASHBOARD!$C14*DASHBOARD!$E14*0.01)</f>
        <v>58312</v>
      </c>
      <c r="AB70" s="13">
        <f>('Saputo (North Vic)'!$C13*DASHBOARD!$C14*DASHBOARD!$D14*0.01)+('Saputo (North Vic)'!$D13*DASHBOARD!$C14*DASHBOARD!$E14*0.01)+('Saputo (North Vic)'!$E13*DASHBOARD!$C14*DASHBOARD!$D14*0.01)+('Saputo (North Vic)'!$F13*DASHBOARD!$C14*DASHBOARD!$E14*0.01)+('Saputo (North Vic)'!$G13*DASHBOARD!$C14*DASHBOARD!$D14*0.01)+('Saputo (North Vic)'!$H13*DASHBOARD!$C14*DASHBOARD!$E14*0.01)</f>
        <v>62816</v>
      </c>
      <c r="AC70" s="13">
        <f>(DASHBOARD!$C14*DASHBOARD!$D14*0.01*'Saputo (North Vic)'!$C33)+(DASHBOARD!$C14*DASHBOARD!$E14*0.01*'Saputo (North Vic)'!$D33)</f>
        <v>57824</v>
      </c>
    </row>
    <row r="71" spans="3:29">
      <c r="C71" s="11"/>
      <c r="D71" s="39" t="s">
        <v>24</v>
      </c>
      <c r="E71" s="13">
        <f>('Lactalis (QLD)'!$D14*DASHBOARD!$C15)+('Lactalis (QLD)'!$E14*DASHBOARD!$C15*DASHBOARD!$D15*0.01)+('Lactalis (QLD)'!$F14*DASHBOARD!$C15*DASHBOARD!$E15*0.01)+('Lactalis (QLD)'!$G14*DASHBOARD!$C15*DASHBOARD!$E15*0.01)+('Lactalis (QLD)'!$H14*DASHBOARD!$C15)</f>
        <v>86275.64</v>
      </c>
      <c r="F71" s="13">
        <f>('Lactalis (NSW)'!$C13*DASHBOARD!$C15)+('Lactalis (NSW)'!$D13*DASHBOARD!$C15)+('Lactalis (NSW)'!$E13*DASHBOARD!$C15)+('Lactalis (NSW)'!$F13*DASHBOARD!$C15*DASHBOARD!$D15*0.01)+('Lactalis (NSW)'!$G13*DASHBOARD!$C15*DASHBOARD!$E15*0.01)</f>
        <v>76343.69</v>
      </c>
      <c r="G71" s="13">
        <f>('Norco (South Region)'!$E15*DASHBOARD!$C15*DASHBOARD!$D15*0.01)+('Norco (South Region)'!$F15*DASHBOARD!$C15*DASHBOARD!$E15*0.01)+('Norco (South Region)'!$G15*DASHBOARD!$C15)+('Norco (South Region)'!$H15*DASHBOARD!$F15)+('Norco (South Region)'!$I15*DASHBOARD!$C15)+('Norco (South Region)'!$J15*DASHBOARD!$C15)-('Norco (South Region)'!$K15)</f>
        <v>83814</v>
      </c>
      <c r="H71" s="13">
        <f>('Saputo (NSW Metro)'!$C14*DASHBOARD!$C15*DASHBOARD!$D15*0.01)+('Saputo (NSW Metro)'!$D14*DASHBOARD!$C15*DASHBOARD!$E15*0.01)+('Saputo (NSW Metro)'!$E14*DASHBOARD!$C15*DASHBOARD!$D15*0.01)+('Saputo (NSW Metro)'!$F14*DASHBOARD!$C15*DASHBOARD!$E15*0.01)</f>
        <v>82472</v>
      </c>
      <c r="J71" s="39" t="s">
        <v>24</v>
      </c>
      <c r="K71" s="13">
        <f>('Bega (North Vic &amp; Riverina)'!$D14*DASHBOARD!$C15*DASHBOARD!$D15*0.01)+('Bega (North Vic &amp; Riverina)'!$E14*DASHBOARD!$C15*DASHBOARD!$E15*0.01)+('Bega (North Vic &amp; Riverina)'!$F14*DASHBOARD!$C15*DASHBOARD!$D15*0.01)+('Bega (North Vic &amp; Riverina)'!$G14*DASHBOARD!$C15*DASHBOARD!$E15*0.01)-('Bega (North Vic &amp; Riverina)'!$H14)</f>
        <v>56312</v>
      </c>
      <c r="L71" s="13">
        <f>(DASHBOARD!$C15*DASHBOARD!$D15*0.01*'Bega (North Vic &amp; Riverina)'!$D30)+('Bega (North Vic &amp; Riverina)'!$E30*DASHBOARD!$C15*DASHBOARD!$E15*0.01)</f>
        <v>57033.599999999999</v>
      </c>
      <c r="M71" s="13">
        <f>('Bega (North Vic &amp; Riverina)'!$D45*DASHBOARD!$C15*DASHBOARD!$D15*0.01)+(DASHBOARD!$C15*DASHBOARD!$E15*0.01*'Bega (North Vic &amp; Riverina)'!$E45)</f>
        <v>57240</v>
      </c>
      <c r="N71" s="13">
        <f>(ACM!$D14*DASHBOARD!$D15*DASHBOARD!$C15*0.01)+(ACM!$E14*DASHBOARD!$E15*DASHBOARD!$C15*0.01)+(ACM!$F14*DASHBOARD!$C15)</f>
        <v>57564</v>
      </c>
      <c r="O71" s="13">
        <f>(Bulla!$C13*DASHBOARD!$F15)</f>
        <v>62280.000000000007</v>
      </c>
      <c r="P71" s="13">
        <f>(Bulla!$C27*DASHBOARD!$C15*DASHBOARD!$D15*0.01)+(Bulla!$D27*DASHBOARD!$C15*DASHBOARD!$E15*0.01)</f>
        <v>62278.400000000001</v>
      </c>
      <c r="Q71" s="13">
        <f>('Coles (Vic, Riverina, &amp; SE SA)'!$D15*DASHBOARD!$C15*DASHBOARD!$D15*0.01)+('Coles (Vic, Riverina, &amp; SE SA)'!$E15*DASHBOARD!$C15*DASHBOARD!$E15*0.01)-('Coles (Vic, Riverina, &amp; SE SA)'!$F15)</f>
        <v>75435</v>
      </c>
      <c r="R71" s="13">
        <f>('DFMC (Vic)'!$F15*DASHBOARD!$C15*DASHBOARD!$D15*0.01)+('DFMC (Vic)'!$G15*DASHBOARD!$C15*DASHBOARD!$E15*0.01)+('DFMC (Vic)'!$H15*DASHBOARD!$F15)</f>
        <v>59957.600000000006</v>
      </c>
      <c r="S71" s="13">
        <f>('DFMC (Vic)'!$F35*DASHBOARD!$C15*DASHBOARD!$D15*0.01)+('DFMC (Vic)'!$G35*DASHBOARD!$C15*DASHBOARD!$E15*0.01)+('DFMC (Vic)'!$H35*DASHBOARD!$F15)</f>
        <v>55191.200000000004</v>
      </c>
      <c r="T71" s="13">
        <f>('DFMC (Vic)'!$F49*DASHBOARD!$C15*DASHBOARD!$D15*0.01)+('DFMC (Vic)'!$G49*DASHBOARD!$C15*DASHBOARD!$E15*0.01)</f>
        <v>55190.400000000001</v>
      </c>
      <c r="U71" s="13">
        <f>('Fonterra (North Vic &amp; Riverina)'!$H18*DASHBOARD!$C15*DASHBOARD!$D15*0.01)+('Fonterra (North Vic &amp; Riverina)'!$I18*DASHBOARD!$C15*DASHBOARD!$E15*0.01)+('Fonterra (North Vic &amp; Riverina)'!$J18*DASHBOARD!$C15*DASHBOARD!$D15*0.01)+('Fonterra (North Vic &amp; Riverina)'!$K18*DASHBOARD!$C15*DASHBOARD!$E15*0.01)+('Fonterra (North Vic &amp; Riverina)'!$L18*0.01*DASHBOARD!$C15*DASHBOARD!$D15)+('Fonterra (North Vic &amp; Riverina)'!$M34*DASHBOARD!$C15*DASHBOARD!$E15*0.01)</f>
        <v>61161.599999999999</v>
      </c>
      <c r="V71" s="13">
        <f>('Fonterra (North Vic &amp; Riverina)'!$H34*DASHBOARD!$C15*DASHBOARD!$D15*0.01)+('Fonterra (North Vic &amp; Riverina)'!$I34*DASHBOARD!$C15*DASHBOARD!$E15*0.01)+('Fonterra (North Vic &amp; Riverina)'!$J34*DASHBOARD!$C15*DASHBOARD!$D15*0.01)+('Fonterra (North Vic &amp; Riverina)'!$K34*DASHBOARD!$C15*DASHBOARD!$E15*0.01)+('Fonterra (North Vic &amp; Riverina)'!$L34*DASHBOARD!$C15*DASHBOARD!$D15*0.01)+('Fonterra (North Vic &amp; Riverina)'!$M34*DASHBOARD!$C15*DASHBOARD!$E15*0.01)</f>
        <v>64305.599999999999</v>
      </c>
      <c r="W71" s="13">
        <f>('Riverina Fresh'!$C15*DASHBOARD!$C15*DASHBOARD!$D15*0.01)+('Riverina Fresh'!$D15*DASHBOARD!$E15*DASHBOARD!$C15*0.01)+('Riverina Fresh'!$E15*DASHBOARD!$C15*DASHBOARD!$D15*0.01)+('Riverina Fresh'!$F15*DASHBOARD!$C15*DASHBOARD!$E15*0.01)-('Riverina Fresh'!$H15*DASHBOARD!$C15)-('Riverina Fresh'!G15)</f>
        <v>57669.98000000001</v>
      </c>
      <c r="X71" s="13">
        <f>('KY Valley (North Vic)'!$D14*DASHBOARD!$C15)+('KY Valley (North Vic)'!$E14*DASHBOARD!$C15*DASHBOARD!$D15*0.01)</f>
        <v>73100</v>
      </c>
      <c r="Y71" s="13">
        <f>('Lactalis (Vic, Tas, &amp; Riverina)'!$C18*DASHBOARD!$C15*DASHBOARD!$D15*0.01)+('Lactalis (Vic, Tas, &amp; Riverina)'!$D18*DASHBOARD!$C15*DASHBOARD!$E15*0.01)+('Lactalis (Vic, Tas, &amp; Riverina)'!$E18*DASHBOARD!$C15*DASHBOARD!$D15*0.01)+('Lactalis (Vic, Tas, &amp; Riverina)'!$F18*DASHBOARD!$C15*DASHBOARD!$E15*0.01)</f>
        <v>72544</v>
      </c>
      <c r="Z71" s="13">
        <f>('Lactalis (NSW)'!$C13*DASHBOARD!$C15)+('Lactalis (NSW)'!$D13*DASHBOARD!$C15)+('Lactalis (NSW)'!$E13*DASHBOARD!$C15)+('Lactalis (NSW)'!$F13*DASHBOARD!$C15*DASHBOARD!$D15*0.01)+('Lactalis (NSW)'!$G13*DASHBOARD!$C15*DASHBOARD!$E15*0.01)</f>
        <v>76343.69</v>
      </c>
      <c r="AA71" s="13">
        <f>(Noumi!$C14*DASHBOARD!$C15*DASHBOARD!$D15*0.01)+(Noumi!$D14*DASHBOARD!$C15*DASHBOARD!$E15*0.01)</f>
        <v>58312</v>
      </c>
      <c r="AB71" s="13">
        <f>('Saputo (North Vic)'!$C14*DASHBOARD!$C15*DASHBOARD!$D15*0.01)+('Saputo (North Vic)'!$D14*DASHBOARD!$C15*DASHBOARD!$E15*0.01)+('Saputo (North Vic)'!$E14*DASHBOARD!$C15*DASHBOARD!$D15*0.01)+('Saputo (North Vic)'!$F14*DASHBOARD!$C15*DASHBOARD!$E15*0.01)+('Saputo (North Vic)'!$G14*DASHBOARD!$C15*DASHBOARD!$D15*0.01)+('Saputo (North Vic)'!$H14*DASHBOARD!$C15*DASHBOARD!$E15*0.01)</f>
        <v>62816</v>
      </c>
      <c r="AC71" s="13">
        <f>(DASHBOARD!$C15*DASHBOARD!$D15*0.01*'Saputo (North Vic)'!$C34)+(DASHBOARD!$C15*DASHBOARD!$E15*0.01*'Saputo (North Vic)'!$D34)</f>
        <v>57824</v>
      </c>
    </row>
    <row r="72" spans="3:29">
      <c r="C72" s="11"/>
      <c r="D72" s="39" t="s">
        <v>70</v>
      </c>
      <c r="E72" s="13">
        <f>('Lactalis (QLD)'!$D15*DASHBOARD!$C16)+('Lactalis (QLD)'!$E15*DASHBOARD!$C16*DASHBOARD!$D16*0.01)+('Lactalis (QLD)'!$F15*DASHBOARD!$C16*DASHBOARD!$E16*0.01)+('Lactalis (QLD)'!$G15*DASHBOARD!$C16*DASHBOARD!$E16*0.01)+('Lactalis (QLD)'!$H15*DASHBOARD!$C16)</f>
        <v>86275.64</v>
      </c>
      <c r="F72" s="13">
        <f>('Lactalis (NSW)'!$C14*DASHBOARD!$C16)+('Lactalis (NSW)'!$D14*DASHBOARD!$C16)+('Lactalis (NSW)'!$E14*DASHBOARD!$C16)+('Lactalis (NSW)'!$F14*DASHBOARD!$C16*DASHBOARD!$D16*0.01)+('Lactalis (NSW)'!$G14*DASHBOARD!$C16*DASHBOARD!$E16*0.01)</f>
        <v>78843.69</v>
      </c>
      <c r="G72" s="13">
        <f>('Norco (South Region)'!$E16*DASHBOARD!$C16*DASHBOARD!$D16*0.01)+('Norco (South Region)'!$F16*DASHBOARD!$C16*DASHBOARD!$E16*0.01)+('Norco (South Region)'!$G16*DASHBOARD!$C16)+('Norco (South Region)'!$H16*DASHBOARD!$F16)+('Norco (South Region)'!$I16*DASHBOARD!$C16)+('Norco (South Region)'!$J16*DASHBOARD!$C16)-('Norco (South Region)'!$K16)</f>
        <v>81814</v>
      </c>
      <c r="H72" s="13">
        <f>('Saputo (NSW Metro)'!$C15*DASHBOARD!$C16*DASHBOARD!$D16*0.01)+('Saputo (NSW Metro)'!$D15*DASHBOARD!$C16*DASHBOARD!$E16*0.01)+('Saputo (NSW Metro)'!$E15*DASHBOARD!$C16*DASHBOARD!$D16*0.01)+('Saputo (NSW Metro)'!$F15*DASHBOARD!$C16*DASHBOARD!$E16*0.01)</f>
        <v>79768</v>
      </c>
      <c r="J72" s="39" t="s">
        <v>70</v>
      </c>
      <c r="K72" s="13">
        <f>('Bega (North Vic &amp; Riverina)'!$D15*DASHBOARD!$C16*DASHBOARD!$D16*0.01)+('Bega (North Vic &amp; Riverina)'!$E15*DASHBOARD!$C16*DASHBOARD!$E16*0.01)+('Bega (North Vic &amp; Riverina)'!$F15*DASHBOARD!$C16*DASHBOARD!$D16*0.01)+('Bega (North Vic &amp; Riverina)'!$G15*DASHBOARD!$C16*DASHBOARD!$E16*0.01)-('Bega (North Vic &amp; Riverina)'!$H15)</f>
        <v>56312</v>
      </c>
      <c r="L72" s="13">
        <f>(DASHBOARD!$C16*DASHBOARD!$D16*0.01*'Bega (North Vic &amp; Riverina)'!$D31)+('Bega (North Vic &amp; Riverina)'!$E31*DASHBOARD!$C16*DASHBOARD!$E16*0.01)</f>
        <v>57033.599999999999</v>
      </c>
      <c r="M72" s="13">
        <f>('Bega (North Vic &amp; Riverina)'!$D46*DASHBOARD!$C16*DASHBOARD!$D16*0.01)+(DASHBOARD!$C16*DASHBOARD!$E16*0.01*'Bega (North Vic &amp; Riverina)'!$E46)</f>
        <v>57240</v>
      </c>
      <c r="N72" s="13">
        <f>(ACM!$D15*DASHBOARD!$D16*DASHBOARD!$C16*0.01)+(ACM!$E15*DASHBOARD!$E16*DASHBOARD!$C16*0.01)+(ACM!$F15*DASHBOARD!$C16)</f>
        <v>57564</v>
      </c>
      <c r="O72" s="13">
        <f>(Bulla!$C14*DASHBOARD!$F16)</f>
        <v>62280.000000000007</v>
      </c>
      <c r="P72" s="13">
        <f>(Bulla!$C28*DASHBOARD!$C16*DASHBOARD!$D16*0.01)+(Bulla!$D28*DASHBOARD!$C16*DASHBOARD!$E16*0.01)</f>
        <v>62278.400000000001</v>
      </c>
      <c r="Q72" s="13">
        <f>('Coles (Vic, Riverina, &amp; SE SA)'!$D16*DASHBOARD!$C16*DASHBOARD!$D16*0.01)+('Coles (Vic, Riverina, &amp; SE SA)'!$E16*DASHBOARD!$C16*DASHBOARD!$E16*0.01)-('Coles (Vic, Riverina, &amp; SE SA)'!$F16)</f>
        <v>75435</v>
      </c>
      <c r="R72" s="13">
        <f>('DFMC (Vic)'!$F16*DASHBOARD!$C16*DASHBOARD!$D16*0.01)+('DFMC (Vic)'!$G16*DASHBOARD!$C16*DASHBOARD!$E16*0.01)+('DFMC (Vic)'!$H16*DASHBOARD!$F16)</f>
        <v>60657.600000000006</v>
      </c>
      <c r="S72" s="13">
        <f>('DFMC (Vic)'!$F36*DASHBOARD!$C16*DASHBOARD!$D16*0.01)+('DFMC (Vic)'!$G36*DASHBOARD!$C16*DASHBOARD!$E16*0.01)+('DFMC (Vic)'!$H36*DASHBOARD!$F16)</f>
        <v>55191.200000000004</v>
      </c>
      <c r="T72" s="13">
        <f>('DFMC (Vic)'!$F50*DASHBOARD!$C16*DASHBOARD!$D16*0.01)+('DFMC (Vic)'!$G50*DASHBOARD!$C16*DASHBOARD!$E16*0.01)</f>
        <v>55190.400000000001</v>
      </c>
      <c r="U72" s="13">
        <f>('Fonterra (North Vic &amp; Riverina)'!$H19*DASHBOARD!$C16*DASHBOARD!$D16*0.01)+('Fonterra (North Vic &amp; Riverina)'!$I19*DASHBOARD!$C16*DASHBOARD!$E16*0.01)+('Fonterra (North Vic &amp; Riverina)'!$J19*DASHBOARD!$C16*DASHBOARD!$D16*0.01)+('Fonterra (North Vic &amp; Riverina)'!$K19*DASHBOARD!$C16*DASHBOARD!$E16*0.01)+('Fonterra (North Vic &amp; Riverina)'!$L19*0.01*DASHBOARD!$C16*DASHBOARD!$D16)+('Fonterra (North Vic &amp; Riverina)'!$M35*DASHBOARD!$C16*DASHBOARD!$E16*0.01)</f>
        <v>61161.599999999999</v>
      </c>
      <c r="V72" s="13">
        <f>('Fonterra (North Vic &amp; Riverina)'!$H35*DASHBOARD!$C16*DASHBOARD!$D16*0.01)+('Fonterra (North Vic &amp; Riverina)'!$I35*DASHBOARD!$C16*DASHBOARD!$E16*0.01)+('Fonterra (North Vic &amp; Riverina)'!$J35*DASHBOARD!$C16*DASHBOARD!$D16*0.01)+('Fonterra (North Vic &amp; Riverina)'!$K35*DASHBOARD!$C16*DASHBOARD!$E16*0.01)+('Fonterra (North Vic &amp; Riverina)'!$L35*DASHBOARD!$C16*DASHBOARD!$D16*0.01)+('Fonterra (North Vic &amp; Riverina)'!$M35*DASHBOARD!$C16*DASHBOARD!$E16*0.01)</f>
        <v>65681.600000000006</v>
      </c>
      <c r="W72" s="13">
        <f>('Riverina Fresh'!$C16*DASHBOARD!$C16*DASHBOARD!$D16*0.01)+('Riverina Fresh'!$D16*DASHBOARD!$E16*DASHBOARD!$C16*0.01)+('Riverina Fresh'!$E16*DASHBOARD!$C16*DASHBOARD!$D16*0.01)+('Riverina Fresh'!$F16*DASHBOARD!$C16*DASHBOARD!$E16*0.01)-('Riverina Fresh'!$H16*DASHBOARD!$C16)-('Riverina Fresh'!G16)</f>
        <v>57669.98000000001</v>
      </c>
      <c r="X72" s="13">
        <f>('KY Valley (North Vic)'!$D15*DASHBOARD!$C16)+('KY Valley (North Vic)'!$E15*DASHBOARD!$C16*DASHBOARD!$D16*0.01)</f>
        <v>70000</v>
      </c>
      <c r="Y72" s="13">
        <f>('Lactalis (Vic, Tas, &amp; Riverina)'!$C19*DASHBOARD!$C16*DASHBOARD!$D16*0.01)+('Lactalis (Vic, Tas, &amp; Riverina)'!$D19*DASHBOARD!$C16*DASHBOARD!$E16*0.01)+('Lactalis (Vic, Tas, &amp; Riverina)'!$E19*DASHBOARD!$C16*DASHBOARD!$D16*0.01)+('Lactalis (Vic, Tas, &amp; Riverina)'!$F19*DASHBOARD!$C16*DASHBOARD!$E16*0.01)</f>
        <v>72544</v>
      </c>
      <c r="Z72" s="13">
        <f>('Lactalis (NSW)'!$C14*DASHBOARD!$C16)+('Lactalis (NSW)'!$D14*DASHBOARD!$C16)+('Lactalis (NSW)'!$E14*DASHBOARD!$C16)+('Lactalis (NSW)'!$F14*DASHBOARD!$C16*DASHBOARD!$D16*0.01)+('Lactalis (NSW)'!$G14*DASHBOARD!$C16*DASHBOARD!$E16*0.01)</f>
        <v>78843.69</v>
      </c>
      <c r="AA72" s="13">
        <f>(Noumi!$C15*DASHBOARD!$C16*DASHBOARD!$D16*0.01)+(Noumi!$D15*DASHBOARD!$C16*DASHBOARD!$E16*0.01)</f>
        <v>58312</v>
      </c>
      <c r="AB72" s="13">
        <f>('Saputo (North Vic)'!$C15*DASHBOARD!$C16*DASHBOARD!$D16*0.01)+('Saputo (North Vic)'!$D15*DASHBOARD!$C16*DASHBOARD!$E16*0.01)+('Saputo (North Vic)'!$E15*DASHBOARD!$C16*DASHBOARD!$D16*0.01)+('Saputo (North Vic)'!$F15*DASHBOARD!$C16*DASHBOARD!$E16*0.01)+('Saputo (North Vic)'!$G15*DASHBOARD!$C16*DASHBOARD!$D16*0.01)+('Saputo (North Vic)'!$H15*DASHBOARD!$C16*DASHBOARD!$E16*0.01)</f>
        <v>62816</v>
      </c>
      <c r="AC72" s="13">
        <f>(DASHBOARD!$C16*DASHBOARD!$D16*0.01*'Saputo (North Vic)'!$C35)+(DASHBOARD!$C16*DASHBOARD!$E16*0.01*'Saputo (North Vic)'!$D35)</f>
        <v>57824</v>
      </c>
    </row>
    <row r="73" spans="3:29">
      <c r="C73" s="11"/>
      <c r="D73" s="11"/>
      <c r="E73" s="37"/>
      <c r="F73" s="7"/>
      <c r="G73" s="7"/>
      <c r="H73" s="7"/>
      <c r="J73" s="11"/>
      <c r="K73" s="37"/>
      <c r="L73" s="37"/>
      <c r="M73" s="37"/>
      <c r="N73" s="7"/>
      <c r="O73" s="7"/>
      <c r="P73" s="7"/>
      <c r="Q73" s="7"/>
      <c r="R73" s="7"/>
      <c r="S73" s="7"/>
      <c r="T73" s="7"/>
      <c r="U73" s="9"/>
      <c r="V73" s="9"/>
      <c r="W73" s="9"/>
      <c r="X73" s="9"/>
      <c r="Y73" s="7"/>
      <c r="Z73" s="7"/>
      <c r="AA73" s="9"/>
      <c r="AB73" s="9"/>
      <c r="AC73" s="9"/>
    </row>
    <row r="74" spans="3:29">
      <c r="C74" s="12" t="s">
        <v>26</v>
      </c>
      <c r="D74" s="36"/>
      <c r="E74" s="38">
        <f>SUM(E61:E72)</f>
        <v>1008307.68</v>
      </c>
      <c r="F74" s="38">
        <f>SUM(F61:F72)</f>
        <v>894624.2799999998</v>
      </c>
      <c r="G74" s="38">
        <f t="shared" ref="G74:H74" si="17">SUM(G61:G72)</f>
        <v>932304</v>
      </c>
      <c r="H74" s="38">
        <f t="shared" si="17"/>
        <v>922168</v>
      </c>
      <c r="J74" s="36"/>
      <c r="K74" s="38">
        <f>SUM(K61:K72)</f>
        <v>664809.60000000009</v>
      </c>
      <c r="L74" s="38">
        <f t="shared" ref="L74:M74" si="18">SUM(L61:L72)</f>
        <v>684403.19999999984</v>
      </c>
      <c r="M74" s="38">
        <f t="shared" si="18"/>
        <v>686880</v>
      </c>
      <c r="N74" s="38">
        <f>SUM(N61:N72)</f>
        <v>677832</v>
      </c>
      <c r="O74" s="38">
        <f>SUM(O61:O72)</f>
        <v>747360.00000000012</v>
      </c>
      <c r="P74" s="38">
        <f>SUM(P61:P72)</f>
        <v>747340.80000000016</v>
      </c>
      <c r="Q74" s="38">
        <f t="shared" ref="Q74:R74" si="19">SUM(Q61:Q72)</f>
        <v>858534</v>
      </c>
      <c r="R74" s="38">
        <f t="shared" si="19"/>
        <v>657171.20000000007</v>
      </c>
      <c r="S74" s="38">
        <f t="shared" ref="S74:T74" si="20">SUM(S61:S72)</f>
        <v>651302.39999999991</v>
      </c>
      <c r="T74" s="38">
        <f t="shared" si="20"/>
        <v>662284.80000000016</v>
      </c>
      <c r="U74" s="38">
        <f>SUM(U61:U72)</f>
        <v>713299.19999999984</v>
      </c>
      <c r="V74" s="38">
        <f>SUM(V61:V72)</f>
        <v>716819.19999999984</v>
      </c>
      <c r="W74" s="38">
        <f>SUM(W61:W72)</f>
        <v>656076.27999999991</v>
      </c>
      <c r="X74" s="38">
        <f>SUM(X61:X72)</f>
        <v>867200</v>
      </c>
      <c r="Y74" s="38">
        <f>SUM(Y61:Y72)</f>
        <v>775920</v>
      </c>
      <c r="Z74" s="38">
        <f>SUM(Z61:Z72)</f>
        <v>894624.2799999998</v>
      </c>
      <c r="AA74" s="38">
        <f>SUM(AA61:AA72)</f>
        <v>699744</v>
      </c>
      <c r="AB74" s="38">
        <f>SUM(AB61:AB72)</f>
        <v>712712</v>
      </c>
      <c r="AC74" s="38">
        <f t="shared" ref="AC74" si="21">SUM(AC61:AC72)</f>
        <v>693888</v>
      </c>
    </row>
    <row r="75" spans="3:29">
      <c r="D75" s="43" t="s">
        <v>71</v>
      </c>
      <c r="E75" s="42">
        <f>E74/DASHBOARD!$C$18</f>
        <v>0.84025640000000001</v>
      </c>
      <c r="F75" s="42">
        <f>F74/DASHBOARD!$C$18</f>
        <v>0.74552023333333317</v>
      </c>
      <c r="G75" s="42">
        <f>G74/DASHBOARD!$C$18</f>
        <v>0.77692000000000005</v>
      </c>
      <c r="H75" s="42">
        <f>H74/DASHBOARD!$C$18</f>
        <v>0.76847333333333334</v>
      </c>
      <c r="I75" s="42"/>
      <c r="J75" s="42"/>
      <c r="K75" s="42">
        <f>K74/DASHBOARD!$C$18</f>
        <v>0.55400800000000006</v>
      </c>
      <c r="L75" s="42">
        <f>L74/DASHBOARD!$C$18</f>
        <v>0.57033599999999984</v>
      </c>
      <c r="M75" s="42">
        <f>M74/DASHBOARD!$C$18</f>
        <v>0.57240000000000002</v>
      </c>
      <c r="N75" s="42">
        <f>N74/DASHBOARD!$C$18</f>
        <v>0.56486000000000003</v>
      </c>
      <c r="O75" s="42">
        <f>O74/DASHBOARD!$C$18</f>
        <v>0.62280000000000013</v>
      </c>
      <c r="P75" s="42">
        <f>P74/DASHBOARD!$C$18</f>
        <v>0.62278400000000012</v>
      </c>
      <c r="Q75" s="42">
        <f>Q74/DASHBOARD!$C$18</f>
        <v>0.715445</v>
      </c>
      <c r="R75" s="42">
        <f>R74/DASHBOARD!$C$18</f>
        <v>0.54764266666666672</v>
      </c>
      <c r="S75" s="42">
        <f>S74/DASHBOARD!$C$18</f>
        <v>0.5427519999999999</v>
      </c>
      <c r="T75" s="42">
        <f>T74/DASHBOARD!$C$18</f>
        <v>0.55190400000000017</v>
      </c>
      <c r="U75" s="42">
        <f>U74/DASHBOARD!$C$18</f>
        <v>0.59441599999999983</v>
      </c>
      <c r="V75" s="42">
        <f>V74/DASHBOARD!$C$18</f>
        <v>0.59734933333333318</v>
      </c>
      <c r="W75" s="42">
        <f>W74/DASHBOARD!$C$18</f>
        <v>0.54673023333333326</v>
      </c>
      <c r="X75" s="42">
        <f>X74/DASHBOARD!$C$18</f>
        <v>0.72266666666666668</v>
      </c>
      <c r="Y75" s="42">
        <f>Y74/DASHBOARD!$C$18</f>
        <v>0.64659999999999995</v>
      </c>
      <c r="Z75" s="42">
        <f>Z74/DASHBOARD!$C$18</f>
        <v>0.74552023333333317</v>
      </c>
      <c r="AA75" s="42">
        <f>AA74/DASHBOARD!$C$18</f>
        <v>0.58311999999999997</v>
      </c>
      <c r="AB75" s="42">
        <f>AB74/DASHBOARD!$C$18</f>
        <v>0.59392666666666671</v>
      </c>
      <c r="AC75" s="42">
        <f>AC74/DASHBOARD!$C$18</f>
        <v>0.57823999999999998</v>
      </c>
    </row>
    <row r="76" spans="3:29">
      <c r="D76" s="43" t="s">
        <v>72</v>
      </c>
      <c r="E76" s="42">
        <f>E74/DASHBOARD!$F$18</f>
        <v>11.670227777777777</v>
      </c>
      <c r="F76" s="42">
        <f>F74/DASHBOARD!$F$18</f>
        <v>10.354447685185182</v>
      </c>
      <c r="G76" s="42">
        <f>G74/DASHBOARD!$F$18</f>
        <v>10.790555555555553</v>
      </c>
      <c r="H76" s="42">
        <f>H74/DASHBOARD!$F$18</f>
        <v>10.67324074074074</v>
      </c>
      <c r="I76" s="42"/>
      <c r="J76" s="42"/>
      <c r="K76" s="42">
        <f>K74/DASHBOARD!$F$18</f>
        <v>7.6945555555555556</v>
      </c>
      <c r="L76" s="42">
        <f>L74/DASHBOARD!$F$18</f>
        <v>7.9213333333333305</v>
      </c>
      <c r="M76" s="42">
        <f>M74/DASHBOARD!$F$18</f>
        <v>7.9499999999999984</v>
      </c>
      <c r="N76" s="42">
        <f>N74/DASHBOARD!$F$18</f>
        <v>7.8452777777777767</v>
      </c>
      <c r="O76" s="42">
        <f>O74/DASHBOARD!$F$18</f>
        <v>8.65</v>
      </c>
      <c r="P76" s="42">
        <f>P74/DASHBOARD!$F$18</f>
        <v>8.6497777777777785</v>
      </c>
      <c r="Q76" s="42">
        <f>Q74/DASHBOARD!$F$18</f>
        <v>9.9367361111111094</v>
      </c>
      <c r="R76" s="42">
        <f>R74/DASHBOARD!$F$18</f>
        <v>7.6061481481481481</v>
      </c>
      <c r="S76" s="42">
        <f>S74/DASHBOARD!$F$18</f>
        <v>7.5382222222222195</v>
      </c>
      <c r="T76" s="42">
        <f>T74/DASHBOARD!$F$18</f>
        <v>7.6653333333333338</v>
      </c>
      <c r="U76" s="42">
        <f>U74/DASHBOARD!$F$18</f>
        <v>8.2557777777777748</v>
      </c>
      <c r="V76" s="42">
        <f>V74/DASHBOARD!$F$18</f>
        <v>8.296518518518516</v>
      </c>
      <c r="W76" s="42">
        <f>W74/DASHBOARD!$F$18</f>
        <v>7.5934754629629611</v>
      </c>
      <c r="X76" s="42">
        <f>X74/DASHBOARD!$F$18</f>
        <v>10.037037037037035</v>
      </c>
      <c r="Y76" s="42">
        <f>Y74/DASHBOARD!$F$18</f>
        <v>8.9805555555555543</v>
      </c>
      <c r="Z76" s="42">
        <f>Z74/DASHBOARD!$F$18</f>
        <v>10.354447685185182</v>
      </c>
      <c r="AA76" s="42">
        <f>AA74/DASHBOARD!$F$18</f>
        <v>8.0988888888888884</v>
      </c>
      <c r="AB76" s="42">
        <f>AB74/DASHBOARD!$F$18</f>
        <v>8.2489814814814792</v>
      </c>
      <c r="AC76" s="42">
        <f>AC74/DASHBOARD!$F$18</f>
        <v>8.0311111111111106</v>
      </c>
    </row>
    <row r="79" spans="3:29" ht="45.75">
      <c r="C79" s="17" t="s">
        <v>35</v>
      </c>
      <c r="D79" s="35" t="s">
        <v>146</v>
      </c>
      <c r="E79" s="10" t="s">
        <v>147</v>
      </c>
      <c r="F79" s="10" t="s">
        <v>148</v>
      </c>
      <c r="G79" s="10" t="s">
        <v>149</v>
      </c>
      <c r="H79" s="10" t="s">
        <v>150</v>
      </c>
      <c r="I79" s="10" t="s">
        <v>151</v>
      </c>
      <c r="J79" s="10" t="s">
        <v>152</v>
      </c>
      <c r="K79" s="10" t="s">
        <v>153</v>
      </c>
      <c r="L79" s="10" t="s">
        <v>154</v>
      </c>
      <c r="M79" s="132" t="s">
        <v>155</v>
      </c>
      <c r="N79" s="10" t="s">
        <v>156</v>
      </c>
      <c r="O79" s="10" t="s">
        <v>157</v>
      </c>
      <c r="P79" s="10" t="s">
        <v>99</v>
      </c>
      <c r="Q79" s="10" t="s">
        <v>158</v>
      </c>
      <c r="R79" s="10" t="s">
        <v>159</v>
      </c>
      <c r="T79" s="35" t="s">
        <v>160</v>
      </c>
      <c r="U79" s="10" t="s">
        <v>161</v>
      </c>
      <c r="V79" s="10" t="s">
        <v>162</v>
      </c>
      <c r="W79" s="10" t="s">
        <v>163</v>
      </c>
      <c r="X79" s="10" t="s">
        <v>128</v>
      </c>
      <c r="Y79" s="10" t="s">
        <v>130</v>
      </c>
    </row>
    <row r="80" spans="3:29">
      <c r="C80" s="11"/>
      <c r="D80" s="39" t="s">
        <v>60</v>
      </c>
      <c r="E80" s="13">
        <f>(ACM!$D4*DASHBOARD!$D5*DASHBOARD!$C5*0.01)+(ACM!$E4*DASHBOARD!$E5*DASHBOARD!$C5*0.01)+(ACM!$F4*DASHBOARD!$C5)</f>
        <v>57564</v>
      </c>
      <c r="F80" s="13">
        <f>(ADFC!$C4*0.01*DASHBOARD!$C5*DASHBOARD!$D5)+(ADFC!$D4*0.01*DASHBOARD!$C5*DASHBOARD!$E5)+(ADFC!$E4*DASHBOARD!$C5*DASHBOARD!$D5*0.01)+(ADFC!$F4*DASHBOARD!$E5*DASHBOARD!$C5*0.01)</f>
        <v>55440</v>
      </c>
      <c r="G80" s="13">
        <f>('Bega (Gippsland)'!$D4*DASHBOARD!$C5*DASHBOARD!$D5*0.01)+('Bega (Gippsland)'!$E4*DASHBOARD!$C5*DASHBOARD!$E5*0.01)+('Bega (Gippsland)'!$F4*DASHBOARD!$C5*DASHBOARD!$D5*0.01)+('Bega (Gippsland)'!$G4*DASHBOARD!$C5*DASHBOARD!$E5*0.01)-('Bega (Gippsland)'!$H4)</f>
        <v>56312</v>
      </c>
      <c r="H80" s="13">
        <f>(DASHBOARD!$C5*DASHBOARD!$D5*0.01*'Bega (Gippsland)'!$D20)+('Bega (Gippsland)'!$E20*DASHBOARD!$C5*DASHBOARD!$E5*0.01)</f>
        <v>57033.599999999999</v>
      </c>
      <c r="I80" s="13">
        <f>(DASHBOARD!$C5*DASHBOARD!$D5*0.01*'Bega (Gippsland)'!$D34)+('Bega (Gippsland)'!$E34*DASHBOARD!$C5*0.01*DASHBOARD!$E5)</f>
        <v>57240</v>
      </c>
      <c r="J80" s="13">
        <f>(Bulla!$C3*DASHBOARD!$F5)</f>
        <v>62280.000000000007</v>
      </c>
      <c r="K80" s="13">
        <f>(Bulla!$C17*DASHBOARD!$C5*DASHBOARD!$D5*0.01)+(Bulla!$D17*DASHBOARD!$C5*DASHBOARD!$E5*0.01)</f>
        <v>62278.400000000001</v>
      </c>
      <c r="L80" s="13">
        <f>(Burra!$C5*DASHBOARD!$C5*DASHBOARD!$D5*0.01)+(Burra!$D5*DASHBOARD!$C5*DASHBOARD!$E5*0.01)+(Burra!$E5*DASHBOARD!$C5*DASHBOARD!$D5*0.01)+(Burra!$F5*DASHBOARD!$E5*DASHBOARD!$C5*0.01)</f>
        <v>62868</v>
      </c>
      <c r="M80" s="13">
        <f>('Coles (Vic, Riverina, &amp; SE SA)'!$D5*DASHBOARD!$C5*DASHBOARD!$D5*0.01)+('Coles (Vic, Riverina, &amp; SE SA)'!$E5*DASHBOARD!$C5*DASHBOARD!$E5*0.01)-('Coles (Vic, Riverina, &amp; SE SA)'!$F5)</f>
        <v>75435</v>
      </c>
      <c r="N80" s="13">
        <f>(Frestine!$D4*DASHBOARD!$C5*DASHBOARD!$D5*0.01)+(Frestine!$E4*DASHBOARD!$C5*DASHBOARD!$E5*0.01)</f>
        <v>57616</v>
      </c>
      <c r="O80" s="13">
        <f>DASHBOARD!$F5*Frestine!$D18</f>
        <v>57600.000000000007</v>
      </c>
      <c r="P80" s="13">
        <f>('Lactalis (Gippsland &amp; West Vic)'!$D4*DASHBOARD!$C5*DASHBOARD!$D5*0.01)+('Lactalis (Gippsland &amp; West Vic)'!$E4*DASHBOARD!$C5*DASHBOARD!$E5*0.01)+('Lactalis (Gippsland &amp; West Vic)'!$F4*DASHBOARD!$C5*DASHBOARD!$D5*0.01)+('Lactalis (Gippsland &amp; West Vic)'!$G4*DASHBOARD!$C5*DASHBOARD!$E5*0.01)</f>
        <v>66520</v>
      </c>
      <c r="Q80" s="13">
        <f>(DASHBOARD!$C5*DASHBOARD!$D5*0.01*'Saputo (Gippsland)'!$C24)+(DASHBOARD!$C5*DASHBOARD!$E5*0.01*'Saputo (Gippsland)'!$D24)</f>
        <v>56784</v>
      </c>
      <c r="R80" s="13">
        <f>('Saputo (Gippsland)'!$C4*DASHBOARD!$C5*DASHBOARD!$D5*0.01)+('Saputo (Gippsland)'!$D4*DASHBOARD!$C5*DASHBOARD!$E5*0.01)+('Saputo (Gippsland)'!$E4*DASHBOARD!$C5*DASHBOARD!$D5*0.01)+('Saputo (Gippsland)'!$F4*DASHBOARD!$C5*DASHBOARD!$E5*0.01)+('Saputo (Gippsland)'!$G4*DASHBOARD!$C5*DASHBOARD!$D5*0.01)+('Saputo (Gippsland)'!$H4*DASHBOARD!$C5*DASHBOARD!$E5*0.01)</f>
        <v>61776</v>
      </c>
      <c r="T80" s="39" t="s">
        <v>60</v>
      </c>
      <c r="U80" s="13">
        <f>(DASHBOARD!$C5*DASHBOARD!$D5*0.01*'Bega (Bega &amp; Bodalla)'!$D20)+(DASHBOARD!$C5*DASHBOARD!$E5*0.01*'Bega (Bega &amp; Bodalla)'!$E20)+(DASHBOARD!$C5*DASHBOARD!$D5*0.01*'Bega (Bega &amp; Bodalla)'!$F20)+(DASHBOARD!$C5*DASHBOARD!$E5*0.01*'Bega (Bega &amp; Bodalla)'!$G20)-('Bega (Bega &amp; Bodalla)'!$I20*DASHBOARD!$C5)-('Bega (Bega &amp; Bodalla)'!$H20)</f>
        <v>73038.399999999994</v>
      </c>
      <c r="V80" s="13">
        <f>('Bega (Bega &amp; Bodalla)'!$D4*DASHBOARD!$C5*DASHBOARD!$D5*0.01)+('Bega (Bega &amp; Bodalla)'!$E4*DASHBOARD!$C5*DASHBOARD!$E5*0.01)+('Bega (Bega &amp; Bodalla)'!$F4*DASHBOARD!$C5*DASHBOARD!$D5*0.01)+('Bega (Bega &amp; Bodalla)'!$G4*DASHBOARD!$C5*DASHBOARD!$E5*0.01)-('Bega (Bega &amp; Bodalla)'!$H4)-('Bega (Bega &amp; Bodalla)'!$I4*DASHBOARD!$C5)</f>
        <v>68360.800000000003</v>
      </c>
      <c r="W80" s="13">
        <f>('Coles (NSW South Coast)'!$D5*DASHBOARD!$C5*DASHBOARD!$D5*0.01)+('Coles (NSW South Coast)'!$E5*DASHBOARD!$C5*DASHBOARD!$E5*0.01)-('Coles (NSW South Coast)'!$F5)</f>
        <v>86395</v>
      </c>
      <c r="X80" s="13">
        <f>('Lactalis (NSW)'!$C3*DASHBOARD!$C5)+('Lactalis (NSW)'!$D3*DASHBOARD!$C5)+('Lactalis (NSW)'!$E3*DASHBOARD!$C5)+('Lactalis (NSW)'!$F3*DASHBOARD!$C5*DASHBOARD!$D5*0.01)+('Lactalis (NSW)'!$G3*DASHBOARD!$C5*DASHBOARD!$E5*0.01)</f>
        <v>77343.69</v>
      </c>
      <c r="Y80" s="13">
        <f>('Saputo (NSW Metro)'!$C4*DASHBOARD!$C5*DASHBOARD!$D5*0.01)+('Saputo (NSW Metro)'!$D4*DASHBOARD!$C5*DASHBOARD!$E5*0.01)+('Saputo (NSW Metro)'!$E4*DASHBOARD!$C5*DASHBOARD!$D5*0.01)+('Saputo (NSW Metro)'!$F4*DASHBOARD!$C5*DASHBOARD!$E5*0.01)</f>
        <v>76856</v>
      </c>
    </row>
    <row r="81" spans="3:25">
      <c r="C81" s="11"/>
      <c r="D81" s="39" t="s">
        <v>61</v>
      </c>
      <c r="E81" s="13">
        <f>(ACM!$D5*DASHBOARD!$D6*DASHBOARD!$C6*0.01)+(ACM!$E5*DASHBOARD!$E6*DASHBOARD!$C6*0.01)+(ACM!$F5*DASHBOARD!$C6)</f>
        <v>57564</v>
      </c>
      <c r="F81" s="13">
        <f>(ADFC!$C5*0.01*DASHBOARD!$C6*DASHBOARD!$D6)+(ADFC!$D5*0.01*DASHBOARD!$C6*DASHBOARD!$E6)+(ADFC!$E5*DASHBOARD!$C6*DASHBOARD!$D6*0.01)+(ADFC!$F5*DASHBOARD!$E6*DASHBOARD!$C6*0.01)</f>
        <v>55440</v>
      </c>
      <c r="G81" s="13">
        <f>('Bega (Gippsland)'!$D5*DASHBOARD!$C6*DASHBOARD!$D6*0.01)+('Bega (Gippsland)'!$E5*DASHBOARD!$C6*DASHBOARD!$E6*0.01)+('Bega (Gippsland)'!$F5*DASHBOARD!$C6*DASHBOARD!$D6*0.01)+('Bega (Gippsland)'!$G5*DASHBOARD!$C6*DASHBOARD!$E6*0.01)-('Bega (Gippsland)'!$H5)</f>
        <v>56312</v>
      </c>
      <c r="H81" s="13">
        <f>(DASHBOARD!$C6*DASHBOARD!$D6*0.01*'Bega (Gippsland)'!$D21)+('Bega (Gippsland)'!$E21*DASHBOARD!$C6*DASHBOARD!$E6*0.01)</f>
        <v>57033.599999999999</v>
      </c>
      <c r="I81" s="13">
        <f>(DASHBOARD!$C6*DASHBOARD!$D6*0.01*'Bega (Gippsland)'!$D35)+('Bega (Gippsland)'!$E35*DASHBOARD!$C6*0.01*DASHBOARD!$E6)</f>
        <v>57240</v>
      </c>
      <c r="J81" s="13">
        <f>(Bulla!$C4*DASHBOARD!$F6)</f>
        <v>62280.000000000007</v>
      </c>
      <c r="K81" s="13">
        <f>(Bulla!$C18*DASHBOARD!$C6*DASHBOARD!$D6*0.01)+(Bulla!$D18*DASHBOARD!$C6*DASHBOARD!$E6*0.01)</f>
        <v>62278.400000000001</v>
      </c>
      <c r="L81" s="13">
        <f>(Burra!$C6*DASHBOARD!$C6*DASHBOARD!$D6*0.01)+(Burra!$D6*DASHBOARD!$C6*DASHBOARD!$E6*0.01)+(Burra!$E6*DASHBOARD!$C6*DASHBOARD!$D6*0.01)+(Burra!$F6*DASHBOARD!$E6*DASHBOARD!$C6*0.01)</f>
        <v>55588</v>
      </c>
      <c r="M81" s="13">
        <f>('Coles (Vic, Riverina, &amp; SE SA)'!$D6*DASHBOARD!$C6*DASHBOARD!$D6*0.01)+('Coles (Vic, Riverina, &amp; SE SA)'!$E6*DASHBOARD!$C6*DASHBOARD!$E6*0.01)-('Coles (Vic, Riverina, &amp; SE SA)'!$F6)</f>
        <v>75435</v>
      </c>
      <c r="N81" s="13">
        <f>(Frestine!$D5*DASHBOARD!$C6*DASHBOARD!$D6*0.01)+(Frestine!$E5*DASHBOARD!$C6*DASHBOARD!$E6*0.01)</f>
        <v>57616</v>
      </c>
      <c r="O81" s="13">
        <f>DASHBOARD!$F6*Frestine!$D19</f>
        <v>57600.000000000007</v>
      </c>
      <c r="P81" s="13">
        <f>('Lactalis (Gippsland &amp; West Vic)'!$D5*DASHBOARD!$C6*DASHBOARD!$D6*0.01)+('Lactalis (Gippsland &amp; West Vic)'!$E5*DASHBOARD!$C6*DASHBOARD!$E6*0.01)+('Lactalis (Gippsland &amp; West Vic)'!$F5*DASHBOARD!$C6*DASHBOARD!$D6*0.01)+('Lactalis (Gippsland &amp; West Vic)'!$G5*DASHBOARD!$C6*DASHBOARD!$E6*0.01)</f>
        <v>56640</v>
      </c>
      <c r="Q81" s="13">
        <f>(DASHBOARD!$C6*DASHBOARD!$D6*0.01*'Saputo (Gippsland)'!$C25)+(DASHBOARD!$C6*DASHBOARD!$E6*0.01*'Saputo (Gippsland)'!$D25)</f>
        <v>56784</v>
      </c>
      <c r="R81" s="13">
        <f>('Saputo (Gippsland)'!$C5*DASHBOARD!$C6*DASHBOARD!$D6*0.01)+('Saputo (Gippsland)'!$D5*DASHBOARD!$C6*DASHBOARD!$E6*0.01)+('Saputo (Gippsland)'!$E5*DASHBOARD!$C6*DASHBOARD!$D6*0.01)+('Saputo (Gippsland)'!$F5*DASHBOARD!$C6*DASHBOARD!$E6*0.01)+('Saputo (Gippsland)'!$G5*DASHBOARD!$C6*DASHBOARD!$D6*0.01)+('Saputo (Gippsland)'!$H5*DASHBOARD!$C6*DASHBOARD!$E6*0.01)</f>
        <v>53560</v>
      </c>
      <c r="T81" s="39" t="s">
        <v>61</v>
      </c>
      <c r="U81" s="13">
        <f>(DASHBOARD!$C6*DASHBOARD!$D6*0.01*'Bega (Bega &amp; Bodalla)'!$D21)+(DASHBOARD!$C6*DASHBOARD!$E6*0.01*'Bega (Bega &amp; Bodalla)'!$E21)+(DASHBOARD!$C6*DASHBOARD!$D6*0.01*'Bega (Bega &amp; Bodalla)'!$F21)+(DASHBOARD!$C6*DASHBOARD!$E6*0.01*'Bega (Bega &amp; Bodalla)'!$G21)-('Bega (Bega &amp; Bodalla)'!$I21*DASHBOARD!$C6)-('Bega (Bega &amp; Bodalla)'!$H21)</f>
        <v>73038.399999999994</v>
      </c>
      <c r="V81" s="13">
        <f>('Bega (Bega &amp; Bodalla)'!$D5*DASHBOARD!$C6*DASHBOARD!$D6*0.01)+('Bega (Bega &amp; Bodalla)'!$E5*DASHBOARD!$C6*DASHBOARD!$E6*0.01)+('Bega (Bega &amp; Bodalla)'!$F5*DASHBOARD!$C6*DASHBOARD!$D6*0.01)+('Bega (Bega &amp; Bodalla)'!$G5*DASHBOARD!$C6*DASHBOARD!$E6*0.01)-('Bega (Bega &amp; Bodalla)'!$H5)-('Bega (Bega &amp; Bodalla)'!$I5*DASHBOARD!$C6)</f>
        <v>68360.800000000003</v>
      </c>
      <c r="W81" s="13">
        <f>('Coles (NSW South Coast)'!$D6*DASHBOARD!$C6*DASHBOARD!$D6*0.01)+('Coles (NSW South Coast)'!$E6*DASHBOARD!$C6*DASHBOARD!$E6*0.01)-('Coles (NSW South Coast)'!$F6)</f>
        <v>86395</v>
      </c>
      <c r="X81" s="13">
        <f>('Lactalis (NSW)'!$C4*DASHBOARD!$C6)+('Lactalis (NSW)'!$D4*DASHBOARD!$C6)+('Lactalis (NSW)'!$E4*DASHBOARD!$C6)+('Lactalis (NSW)'!$F4*DASHBOARD!$C6*DASHBOARD!$D6*0.01)+('Lactalis (NSW)'!$G4*DASHBOARD!$C6*DASHBOARD!$E6*0.01)</f>
        <v>71343.69</v>
      </c>
      <c r="Y81" s="13">
        <f>('Saputo (NSW Metro)'!$C5*DASHBOARD!$C6*DASHBOARD!$D6*0.01)+('Saputo (NSW Metro)'!$D5*DASHBOARD!$C6*DASHBOARD!$E6*0.01)+('Saputo (NSW Metro)'!$E5*DASHBOARD!$C6*DASHBOARD!$D6*0.01)+('Saputo (NSW Metro)'!$F5*DASHBOARD!$C6*DASHBOARD!$E6*0.01)</f>
        <v>74048</v>
      </c>
    </row>
    <row r="82" spans="3:25">
      <c r="C82" s="11"/>
      <c r="D82" s="39" t="s">
        <v>62</v>
      </c>
      <c r="E82" s="13">
        <f>(ACM!$D6*DASHBOARD!$D7*DASHBOARD!$C7*0.01)+(ACM!$E6*DASHBOARD!$E7*DASHBOARD!$C7*0.01)+(ACM!$F6*DASHBOARD!$C7)</f>
        <v>53252</v>
      </c>
      <c r="F82" s="13">
        <f>(ADFC!$C6*0.01*DASHBOARD!$C7*DASHBOARD!$D7)+(ADFC!$D6*0.01*DASHBOARD!$C7*DASHBOARD!$E7)+(ADFC!$E6*DASHBOARD!$C7*DASHBOARD!$D7*0.01)+(ADFC!$F6*DASHBOARD!$E7*DASHBOARD!$C7*0.01)</f>
        <v>55440</v>
      </c>
      <c r="G82" s="13">
        <f>('Bega (Gippsland)'!$D6*DASHBOARD!$C7*DASHBOARD!$D7*0.01)+('Bega (Gippsland)'!$E6*DASHBOARD!$C7*DASHBOARD!$E7*0.01)+('Bega (Gippsland)'!$F6*DASHBOARD!$C7*DASHBOARD!$D7*0.01)+('Bega (Gippsland)'!$G6*DASHBOARD!$C7*DASHBOARD!$E7*0.01)-('Bega (Gippsland)'!$H6)</f>
        <v>52659.199999999997</v>
      </c>
      <c r="H82" s="13">
        <f>(DASHBOARD!$C7*DASHBOARD!$D7*0.01*'Bega (Gippsland)'!$D22)+('Bega (Gippsland)'!$E22*DASHBOARD!$C7*DASHBOARD!$E7*0.01)</f>
        <v>57033.599999999999</v>
      </c>
      <c r="I82" s="13">
        <f>(DASHBOARD!$C7*DASHBOARD!$D7*0.01*'Bega (Gippsland)'!$D36)+('Bega (Gippsland)'!$E36*DASHBOARD!$C7*0.01*DASHBOARD!$E7)</f>
        <v>57240</v>
      </c>
      <c r="J82" s="13">
        <f>(Bulla!$C5*DASHBOARD!$F7)</f>
        <v>62280.000000000007</v>
      </c>
      <c r="K82" s="13">
        <f>(Bulla!$C19*DASHBOARD!$C7*DASHBOARD!$D7*0.01)+(Bulla!$D19*DASHBOARD!$C7*DASHBOARD!$E7*0.01)</f>
        <v>62278.400000000001</v>
      </c>
      <c r="L82" s="13">
        <f>(Burra!$C7*DASHBOARD!$C7*DASHBOARD!$D7*0.01)+(Burra!$D7*DASHBOARD!$C7*DASHBOARD!$E7*0.01)+(Burra!$E7*DASHBOARD!$C7*DASHBOARD!$D7*0.01)+(Burra!$F7*DASHBOARD!$E7*DASHBOARD!$C7*0.01)</f>
        <v>54028</v>
      </c>
      <c r="M82" s="13">
        <f>('Coles (Vic, Riverina, &amp; SE SA)'!$D7*DASHBOARD!$C7*DASHBOARD!$D7*0.01)+('Coles (Vic, Riverina, &amp; SE SA)'!$E7*DASHBOARD!$C7*DASHBOARD!$E7*0.01)-('Coles (Vic, Riverina, &amp; SE SA)'!$F7)</f>
        <v>63726</v>
      </c>
      <c r="N82" s="13">
        <f>(Frestine!$D6*DASHBOARD!$C7*DASHBOARD!$D7*0.01)+(Frestine!$E6*DASHBOARD!$C7*DASHBOARD!$E7*0.01)</f>
        <v>57616</v>
      </c>
      <c r="O82" s="13">
        <f>DASHBOARD!$F7*Frestine!$D20</f>
        <v>57600.000000000007</v>
      </c>
      <c r="P82" s="13">
        <f>('Lactalis (Gippsland &amp; West Vic)'!$D6*DASHBOARD!$C7*DASHBOARD!$D7*0.01)+('Lactalis (Gippsland &amp; West Vic)'!$E6*DASHBOARD!$C7*DASHBOARD!$E7*0.01)+('Lactalis (Gippsland &amp; West Vic)'!$F6*DASHBOARD!$C7*DASHBOARD!$D7*0.01)+('Lactalis (Gippsland &amp; West Vic)'!$G6*DASHBOARD!$C7*DASHBOARD!$E7*0.01)</f>
        <v>59168</v>
      </c>
      <c r="Q82" s="13">
        <f>(DASHBOARD!$C7*DASHBOARD!$D7*0.01*'Saputo (Gippsland)'!$C26)+(DASHBOARD!$C7*DASHBOARD!$E7*0.01*'Saputo (Gippsland)'!$D26)</f>
        <v>56784</v>
      </c>
      <c r="R82" s="13">
        <f>('Saputo (Gippsland)'!$C6*DASHBOARD!$C7*DASHBOARD!$D7*0.01)+('Saputo (Gippsland)'!$D6*DASHBOARD!$C7*DASHBOARD!$E7*0.01)+('Saputo (Gippsland)'!$E6*DASHBOARD!$C7*DASHBOARD!$D7*0.01)+('Saputo (Gippsland)'!$F6*DASHBOARD!$C7*DASHBOARD!$E7*0.01)+('Saputo (Gippsland)'!$G6*DASHBOARD!$C7*DASHBOARD!$D7*0.01)+('Saputo (Gippsland)'!$H6*DASHBOARD!$C7*DASHBOARD!$E7*0.01)</f>
        <v>53560</v>
      </c>
      <c r="T82" s="39" t="s">
        <v>62</v>
      </c>
      <c r="U82" s="13">
        <f>(DASHBOARD!$C7*DASHBOARD!$D7*0.01*'Bega (Bega &amp; Bodalla)'!$D22)+(DASHBOARD!$C7*DASHBOARD!$E7*0.01*'Bega (Bega &amp; Bodalla)'!$E22)+(DASHBOARD!$C7*DASHBOARD!$D7*0.01*'Bega (Bega &amp; Bodalla)'!$F22)+(DASHBOARD!$C7*DASHBOARD!$E7*0.01*'Bega (Bega &amp; Bodalla)'!$G22)-('Bega (Bega &amp; Bodalla)'!$I22*DASHBOARD!$C7)-('Bega (Bega &amp; Bodalla)'!$H22)</f>
        <v>60511.200000000004</v>
      </c>
      <c r="V82" s="13">
        <f>('Bega (Bega &amp; Bodalla)'!$D6*DASHBOARD!$C7*DASHBOARD!$D7*0.01)+('Bega (Bega &amp; Bodalla)'!$E6*DASHBOARD!$C7*DASHBOARD!$E7*0.01)+('Bega (Bega &amp; Bodalla)'!$F6*DASHBOARD!$C7*DASHBOARD!$D7*0.01)+('Bega (Bega &amp; Bodalla)'!$G6*DASHBOARD!$C7*DASHBOARD!$E7*0.01)-('Bega (Bega &amp; Bodalla)'!$H6)-('Bega (Bega &amp; Bodalla)'!$I6*DASHBOARD!$C7)</f>
        <v>66784.800000000003</v>
      </c>
      <c r="W82" s="13">
        <f>('Coles (NSW South Coast)'!$D7*DASHBOARD!$C7*DASHBOARD!$D7*0.01)+('Coles (NSW South Coast)'!$E7*DASHBOARD!$C7*DASHBOARD!$E7*0.01)-('Coles (NSW South Coast)'!$F7)</f>
        <v>81878</v>
      </c>
      <c r="X82" s="13">
        <f>('Lactalis (NSW)'!$C5*DASHBOARD!$C7)+('Lactalis (NSW)'!$D5*DASHBOARD!$C7)+('Lactalis (NSW)'!$E5*DASHBOARD!$C7)+('Lactalis (NSW)'!$F5*DASHBOARD!$C7*DASHBOARD!$D7*0.01)+('Lactalis (NSW)'!$G5*DASHBOARD!$C7*DASHBOARD!$E7*0.01)</f>
        <v>71343.69</v>
      </c>
      <c r="Y82" s="13">
        <f>('Saputo (NSW Metro)'!$C6*DASHBOARD!$C7*DASHBOARD!$D7*0.01)+('Saputo (NSW Metro)'!$D6*DASHBOARD!$C7*DASHBOARD!$E7*0.01)+('Saputo (NSW Metro)'!$E6*DASHBOARD!$C7*DASHBOARD!$D7*0.01)+('Saputo (NSW Metro)'!$F6*DASHBOARD!$C7*DASHBOARD!$E7*0.01)</f>
        <v>71136</v>
      </c>
    </row>
    <row r="83" spans="3:25">
      <c r="C83" s="11"/>
      <c r="D83" s="39" t="s">
        <v>63</v>
      </c>
      <c r="E83" s="13">
        <f>(ACM!$D7*DASHBOARD!$D8*DASHBOARD!$C8*0.01)+(ACM!$E7*DASHBOARD!$E8*DASHBOARD!$C8*0.01)+(ACM!$F7*DASHBOARD!$C8)</f>
        <v>53252</v>
      </c>
      <c r="F83" s="13">
        <f>(ADFC!$C7*0.01*DASHBOARD!$C8*DASHBOARD!$D8)+(ADFC!$D7*0.01*DASHBOARD!$C8*DASHBOARD!$E8)+(ADFC!$E7*DASHBOARD!$C8*DASHBOARD!$D8*0.01)+(ADFC!$F7*DASHBOARD!$E8*DASHBOARD!$C8*0.01)</f>
        <v>55440</v>
      </c>
      <c r="G83" s="13">
        <f>('Bega (Gippsland)'!$D7*DASHBOARD!$C8*DASHBOARD!$D8*0.01)+('Bega (Gippsland)'!$E7*DASHBOARD!$C8*DASHBOARD!$E8*0.01)+('Bega (Gippsland)'!$F7*DASHBOARD!$C8*DASHBOARD!$D8*0.01)+('Bega (Gippsland)'!$G7*DASHBOARD!$C8*DASHBOARD!$E8*0.01)-('Bega (Gippsland)'!$H7)</f>
        <v>52651.199999999997</v>
      </c>
      <c r="H83" s="13">
        <f>(DASHBOARD!$C8*DASHBOARD!$D8*0.01*'Bega (Gippsland)'!$D23)+('Bega (Gippsland)'!$E23*DASHBOARD!$C8*DASHBOARD!$E8*0.01)</f>
        <v>57033.599999999999</v>
      </c>
      <c r="I83" s="13">
        <f>(DASHBOARD!$C8*DASHBOARD!$D8*0.01*'Bega (Gippsland)'!$D37)+('Bega (Gippsland)'!$E37*DASHBOARD!$C8*0.01*DASHBOARD!$E8)</f>
        <v>57240</v>
      </c>
      <c r="J83" s="13">
        <f>(Bulla!$C6*DASHBOARD!$F8)</f>
        <v>62280.000000000007</v>
      </c>
      <c r="K83" s="13">
        <f>(Bulla!$C20*DASHBOARD!$C8*DASHBOARD!$D8*0.01)+(Bulla!$D20*DASHBOARD!$C8*DASHBOARD!$E8*0.01)</f>
        <v>62278.400000000001</v>
      </c>
      <c r="L83" s="13">
        <f>(Burra!$C8*DASHBOARD!$C8*DASHBOARD!$D8*0.01)+(Burra!$D8*DASHBOARD!$C8*DASHBOARD!$E8*0.01)+(Burra!$E8*DASHBOARD!$C8*DASHBOARD!$D8*0.01)+(Burra!$F8*DASHBOARD!$E8*DASHBOARD!$C8*0.01)</f>
        <v>54028</v>
      </c>
      <c r="M83" s="13">
        <f>('Coles (Vic, Riverina, &amp; SE SA)'!$D8*DASHBOARD!$C8*DASHBOARD!$D8*0.01)+('Coles (Vic, Riverina, &amp; SE SA)'!$E8*DASHBOARD!$C8*DASHBOARD!$E8*0.01)-('Coles (Vic, Riverina, &amp; SE SA)'!$F8)</f>
        <v>63651</v>
      </c>
      <c r="N83" s="13">
        <f>(Frestine!$D7*DASHBOARD!$C8*DASHBOARD!$D8*0.01)+(Frestine!$E7*DASHBOARD!$C8*DASHBOARD!$E8*0.01)</f>
        <v>57616</v>
      </c>
      <c r="O83" s="13">
        <f>DASHBOARD!$F8*Frestine!$D21</f>
        <v>57600.000000000007</v>
      </c>
      <c r="P83" s="13">
        <f>('Lactalis (Gippsland &amp; West Vic)'!$D7*DASHBOARD!$C8*DASHBOARD!$D8*0.01)+('Lactalis (Gippsland &amp; West Vic)'!$E7*DASHBOARD!$C8*DASHBOARD!$E8*0.01)+('Lactalis (Gippsland &amp; West Vic)'!$F7*DASHBOARD!$C8*DASHBOARD!$D8*0.01)+('Lactalis (Gippsland &amp; West Vic)'!$G7*DASHBOARD!$C8*DASHBOARD!$E8*0.01)</f>
        <v>59168</v>
      </c>
      <c r="Q83" s="13">
        <f>(DASHBOARD!$C8*DASHBOARD!$D8*0.01*'Saputo (Gippsland)'!$C27)+(DASHBOARD!$C8*DASHBOARD!$E8*0.01*'Saputo (Gippsland)'!$D27)</f>
        <v>56784</v>
      </c>
      <c r="R83" s="13">
        <f>('Saputo (Gippsland)'!$C7*DASHBOARD!$C8*DASHBOARD!$D8*0.01)+('Saputo (Gippsland)'!$D7*DASHBOARD!$C8*DASHBOARD!$E8*0.01)+('Saputo (Gippsland)'!$E7*DASHBOARD!$C8*DASHBOARD!$D8*0.01)+('Saputo (Gippsland)'!$F7*DASHBOARD!$C8*DASHBOARD!$E8*0.01)+('Saputo (Gippsland)'!$G7*DASHBOARD!$C8*DASHBOARD!$D8*0.01)+('Saputo (Gippsland)'!$H7*DASHBOARD!$C8*DASHBOARD!$E8*0.01)</f>
        <v>53560</v>
      </c>
      <c r="T83" s="39" t="s">
        <v>63</v>
      </c>
      <c r="U83" s="13">
        <f>(DASHBOARD!$C8*DASHBOARD!$D8*0.01*'Bega (Bega &amp; Bodalla)'!$D23)+(DASHBOARD!$C8*DASHBOARD!$E8*0.01*'Bega (Bega &amp; Bodalla)'!$E23)+(DASHBOARD!$C8*DASHBOARD!$D8*0.01*'Bega (Bega &amp; Bodalla)'!$F23)+(DASHBOARD!$C8*DASHBOARD!$E8*0.01*'Bega (Bega &amp; Bodalla)'!$G23)-('Bega (Bega &amp; Bodalla)'!$I23*DASHBOARD!$C8)-('Bega (Bega &amp; Bodalla)'!$H23)</f>
        <v>60503.200000000004</v>
      </c>
      <c r="V83" s="13">
        <f>('Bega (Bega &amp; Bodalla)'!$D7*DASHBOARD!$C8*DASHBOARD!$D8*0.01)+('Bega (Bega &amp; Bodalla)'!$E7*DASHBOARD!$C8*DASHBOARD!$E8*0.01)+('Bega (Bega &amp; Bodalla)'!$F7*DASHBOARD!$C8*DASHBOARD!$D8*0.01)+('Bega (Bega &amp; Bodalla)'!$G7*DASHBOARD!$C8*DASHBOARD!$E8*0.01)-('Bega (Bega &amp; Bodalla)'!$H7)-('Bega (Bega &amp; Bodalla)'!$I7*DASHBOARD!$C8)</f>
        <v>64588</v>
      </c>
      <c r="W83" s="13">
        <f>('Coles (NSW South Coast)'!$D8*DASHBOARD!$C8*DASHBOARD!$D8*0.01)+('Coles (NSW South Coast)'!$E8*DASHBOARD!$C8*DASHBOARD!$E8*0.01)-('Coles (NSW South Coast)'!$F8)</f>
        <v>81803</v>
      </c>
      <c r="X83" s="13">
        <f>('Lactalis (NSW)'!$C6*DASHBOARD!$C8)+('Lactalis (NSW)'!$D6*DASHBOARD!$C8)+('Lactalis (NSW)'!$E6*DASHBOARD!$C8)+('Lactalis (NSW)'!$F6*DASHBOARD!$C8*DASHBOARD!$D8*0.01)+('Lactalis (NSW)'!$G6*DASHBOARD!$C8*DASHBOARD!$E8*0.01)</f>
        <v>71343.69</v>
      </c>
      <c r="Y83" s="13">
        <f>('Saputo (NSW Metro)'!$C7*DASHBOARD!$C8*DASHBOARD!$D8*0.01)+('Saputo (NSW Metro)'!$D7*DASHBOARD!$C8*DASHBOARD!$E8*0.01)+('Saputo (NSW Metro)'!$E7*DASHBOARD!$C8*DASHBOARD!$D8*0.01)+('Saputo (NSW Metro)'!$F7*DASHBOARD!$C8*DASHBOARD!$E8*0.01)</f>
        <v>71136</v>
      </c>
    </row>
    <row r="84" spans="3:25">
      <c r="C84" s="11"/>
      <c r="D84" s="39" t="s">
        <v>64</v>
      </c>
      <c r="E84" s="13">
        <f>(ACM!$D8*DASHBOARD!$D9*DASHBOARD!$C9*0.01)+(ACM!$E8*DASHBOARD!$E9*DASHBOARD!$C9*0.01)+(ACM!$F8*DASHBOARD!$C9)</f>
        <v>53252</v>
      </c>
      <c r="F84" s="13">
        <f>(ADFC!$C8*0.01*DASHBOARD!$C9*DASHBOARD!$D9)+(ADFC!$D8*0.01*DASHBOARD!$C9*DASHBOARD!$E9)+(ADFC!$E8*DASHBOARD!$C9*DASHBOARD!$D9*0.01)+(ADFC!$F8*DASHBOARD!$E9*DASHBOARD!$C9*0.01)</f>
        <v>55440</v>
      </c>
      <c r="G84" s="13">
        <f>('Bega (Gippsland)'!$D8*DASHBOARD!$C9*DASHBOARD!$D9*0.01)+('Bega (Gippsland)'!$E8*DASHBOARD!$C9*DASHBOARD!$E9*0.01)+('Bega (Gippsland)'!$F8*DASHBOARD!$C9*DASHBOARD!$D9*0.01)+('Bega (Gippsland)'!$G8*DASHBOARD!$C9*DASHBOARD!$E9*0.01)-('Bega (Gippsland)'!$H8)</f>
        <v>52659.199999999997</v>
      </c>
      <c r="H84" s="13">
        <f>(DASHBOARD!$C9*DASHBOARD!$D9*0.01*'Bega (Gippsland)'!$D24)+('Bega (Gippsland)'!$E24*DASHBOARD!$C9*DASHBOARD!$E9*0.01)</f>
        <v>57033.599999999999</v>
      </c>
      <c r="I84" s="13">
        <f>(DASHBOARD!$C9*DASHBOARD!$D9*0.01*'Bega (Gippsland)'!$D38)+('Bega (Gippsland)'!$E38*DASHBOARD!$C9*0.01*DASHBOARD!$E9)</f>
        <v>57240</v>
      </c>
      <c r="J84" s="13">
        <f>(Bulla!$C7*DASHBOARD!$F9)</f>
        <v>62280.000000000007</v>
      </c>
      <c r="K84" s="13">
        <f>(Bulla!$C21*DASHBOARD!$C9*DASHBOARD!$D9*0.01)+(Bulla!$D21*DASHBOARD!$C9*DASHBOARD!$E9*0.01)</f>
        <v>62278.400000000001</v>
      </c>
      <c r="L84" s="13">
        <f>(Burra!$C9*DASHBOARD!$C9*DASHBOARD!$D9*0.01)+(Burra!$D9*DASHBOARD!$C9*DASHBOARD!$E9*0.01)+(Burra!$E9*DASHBOARD!$C9*DASHBOARD!$D9*0.01)+(Burra!$F9*DASHBOARD!$E9*DASHBOARD!$C9*0.01)</f>
        <v>54028</v>
      </c>
      <c r="M84" s="13">
        <f>('Coles (Vic, Riverina, &amp; SE SA)'!$D9*DASHBOARD!$C9*DASHBOARD!$D9*0.01)+('Coles (Vic, Riverina, &amp; SE SA)'!$E9*DASHBOARD!$C9*DASHBOARD!$E9*0.01)-('Coles (Vic, Riverina, &amp; SE SA)'!$F9)</f>
        <v>63726</v>
      </c>
      <c r="N84" s="13">
        <f>(Frestine!$D8*DASHBOARD!$C9*DASHBOARD!$D9*0.01)+(Frestine!$E8*DASHBOARD!$C9*DASHBOARD!$E9*0.01)</f>
        <v>57616</v>
      </c>
      <c r="O84" s="13">
        <f>DASHBOARD!$F9*Frestine!$D22</f>
        <v>57600.000000000007</v>
      </c>
      <c r="P84" s="13">
        <f>('Lactalis (Gippsland &amp; West Vic)'!$D8*DASHBOARD!$C9*DASHBOARD!$D9*0.01)+('Lactalis (Gippsland &amp; West Vic)'!$E8*DASHBOARD!$C9*DASHBOARD!$E9*0.01)+('Lactalis (Gippsland &amp; West Vic)'!$F8*DASHBOARD!$C9*DASHBOARD!$D9*0.01)+('Lactalis (Gippsland &amp; West Vic)'!$G8*DASHBOARD!$C9*DASHBOARD!$E9*0.01)</f>
        <v>59168</v>
      </c>
      <c r="Q84" s="13">
        <f>(DASHBOARD!$C9*DASHBOARD!$D9*0.01*'Saputo (Gippsland)'!$C28)+(DASHBOARD!$C9*DASHBOARD!$E9*0.01*'Saputo (Gippsland)'!$D28)</f>
        <v>56784</v>
      </c>
      <c r="R84" s="13">
        <f>('Saputo (Gippsland)'!$C8*DASHBOARD!$C9*DASHBOARD!$D9*0.01)+('Saputo (Gippsland)'!$D8*DASHBOARD!$C9*DASHBOARD!$E9*0.01)+('Saputo (Gippsland)'!$E8*DASHBOARD!$C9*DASHBOARD!$D9*0.01)+('Saputo (Gippsland)'!$F8*DASHBOARD!$C9*DASHBOARD!$E9*0.01)+('Saputo (Gippsland)'!$G8*DASHBOARD!$C9*DASHBOARD!$D9*0.01)+('Saputo (Gippsland)'!$H8*DASHBOARD!$C9*DASHBOARD!$E9*0.01)</f>
        <v>53560</v>
      </c>
      <c r="T84" s="39" t="s">
        <v>64</v>
      </c>
      <c r="U84" s="13">
        <f>(DASHBOARD!$C9*DASHBOARD!$D9*0.01*'Bega (Bega &amp; Bodalla)'!$D24)+(DASHBOARD!$C9*DASHBOARD!$E9*0.01*'Bega (Bega &amp; Bodalla)'!$E24)+(DASHBOARD!$C9*DASHBOARD!$D9*0.01*'Bega (Bega &amp; Bodalla)'!$F24)+(DASHBOARD!$C9*DASHBOARD!$E9*0.01*'Bega (Bega &amp; Bodalla)'!$G24)-('Bega (Bega &amp; Bodalla)'!$I24*DASHBOARD!$C9)-('Bega (Bega &amp; Bodalla)'!$H24)</f>
        <v>60511.200000000004</v>
      </c>
      <c r="V84" s="13">
        <f>('Bega (Bega &amp; Bodalla)'!$D8*DASHBOARD!$C9*DASHBOARD!$D9*0.01)+('Bega (Bega &amp; Bodalla)'!$E8*DASHBOARD!$C9*DASHBOARD!$E9*0.01)+('Bega (Bega &amp; Bodalla)'!$F8*DASHBOARD!$C9*DASHBOARD!$D9*0.01)+('Bega (Bega &amp; Bodalla)'!$G8*DASHBOARD!$C9*DASHBOARD!$E9*0.01)-('Bega (Bega &amp; Bodalla)'!$H8)-('Bega (Bega &amp; Bodalla)'!$I8*DASHBOARD!$C9)</f>
        <v>64596</v>
      </c>
      <c r="W84" s="13">
        <f>('Coles (NSW South Coast)'!$D9*DASHBOARD!$C9*DASHBOARD!$D9*0.01)+('Coles (NSW South Coast)'!$E9*DASHBOARD!$C9*DASHBOARD!$E9*0.01)-('Coles (NSW South Coast)'!$F9)</f>
        <v>81878</v>
      </c>
      <c r="X84" s="13">
        <f>('Lactalis (NSW)'!$C7*DASHBOARD!$C9)+('Lactalis (NSW)'!$D7*DASHBOARD!$C9)+('Lactalis (NSW)'!$E7*DASHBOARD!$C9)+('Lactalis (NSW)'!$F7*DASHBOARD!$C9*DASHBOARD!$D9*0.01)+('Lactalis (NSW)'!$G7*DASHBOARD!$C9*DASHBOARD!$E9*0.01)</f>
        <v>71343.69</v>
      </c>
      <c r="Y84" s="13">
        <f>('Saputo (NSW Metro)'!$C8*DASHBOARD!$C9*DASHBOARD!$D9*0.01)+('Saputo (NSW Metro)'!$D8*DASHBOARD!$C9*DASHBOARD!$E9*0.01)+('Saputo (NSW Metro)'!$E8*DASHBOARD!$C9*DASHBOARD!$D9*0.01)+('Saputo (NSW Metro)'!$F8*DASHBOARD!$C9*DASHBOARD!$E9*0.01)</f>
        <v>71136</v>
      </c>
    </row>
    <row r="85" spans="3:25">
      <c r="C85" s="11"/>
      <c r="D85" s="39" t="s">
        <v>65</v>
      </c>
      <c r="E85" s="13">
        <f>(ACM!$D9*DASHBOARD!$D10*DASHBOARD!$C10*0.01)+(ACM!$E9*DASHBOARD!$E10*DASHBOARD!$C10*0.01)+(ACM!$F9*DASHBOARD!$C10)</f>
        <v>57564</v>
      </c>
      <c r="F85" s="13">
        <f>(ADFC!$C9*0.01*DASHBOARD!$C10*DASHBOARD!$D10)+(ADFC!$D9*0.01*DASHBOARD!$C10*DASHBOARD!$E10)+(ADFC!$E9*DASHBOARD!$C10*DASHBOARD!$D10*0.01)+(ADFC!$F9*DASHBOARD!$E10*DASHBOARD!$C10*0.01)</f>
        <v>55440</v>
      </c>
      <c r="G85" s="13">
        <f>('Bega (Gippsland)'!$D9*DASHBOARD!$C10*DASHBOARD!$D10*0.01)+('Bega (Gippsland)'!$E9*DASHBOARD!$C10*DASHBOARD!$E10*0.01)+('Bega (Gippsland)'!$F9*DASHBOARD!$C10*DASHBOARD!$D10*0.01)+('Bega (Gippsland)'!$G9*DASHBOARD!$C10*DASHBOARD!$E10*0.01)-('Bega (Gippsland)'!$H9)</f>
        <v>56312</v>
      </c>
      <c r="H85" s="13">
        <f>(DASHBOARD!$C10*DASHBOARD!$D10*0.01*'Bega (Gippsland)'!$D25)+('Bega (Gippsland)'!$E25*DASHBOARD!$C10*DASHBOARD!$E10*0.01)</f>
        <v>57033.599999999999</v>
      </c>
      <c r="I85" s="13">
        <f>(DASHBOARD!$C10*DASHBOARD!$D10*0.01*'Bega (Gippsland)'!$D39)+('Bega (Gippsland)'!$E39*DASHBOARD!$C10*0.01*DASHBOARD!$E10)</f>
        <v>57240</v>
      </c>
      <c r="J85" s="13">
        <f>(Bulla!$C8*DASHBOARD!$F10)</f>
        <v>62280.000000000007</v>
      </c>
      <c r="K85" s="13">
        <f>(Bulla!$C22*DASHBOARD!$C10*DASHBOARD!$D10*0.01)+(Bulla!$D22*DASHBOARD!$C10*DASHBOARD!$E10*0.01)</f>
        <v>62278.400000000001</v>
      </c>
      <c r="L85" s="13">
        <f>(Burra!$C10*DASHBOARD!$C10*DASHBOARD!$D10*0.01)+(Burra!$D10*DASHBOARD!$C10*DASHBOARD!$E10*0.01)+(Burra!$E10*DASHBOARD!$C10*DASHBOARD!$D10*0.01)+(Burra!$F10*DASHBOARD!$E10*DASHBOARD!$C10*0.01)</f>
        <v>54028</v>
      </c>
      <c r="M85" s="13">
        <f>('Coles (Vic, Riverina, &amp; SE SA)'!$D10*DASHBOARD!$C10*DASHBOARD!$D10*0.01)+('Coles (Vic, Riverina, &amp; SE SA)'!$E10*DASHBOARD!$C10*DASHBOARD!$E10*0.01)-('Coles (Vic, Riverina, &amp; SE SA)'!$F10)</f>
        <v>63651</v>
      </c>
      <c r="N85" s="13">
        <f>(Frestine!$D9*DASHBOARD!$C10*DASHBOARD!$D10*0.01)+(Frestine!$E9*DASHBOARD!$C10*DASHBOARD!$E10*0.01)</f>
        <v>57616</v>
      </c>
      <c r="O85" s="13">
        <f>DASHBOARD!$F10*Frestine!$D23</f>
        <v>57600.000000000007</v>
      </c>
      <c r="P85" s="13">
        <f>('Lactalis (Gippsland &amp; West Vic)'!$D9*DASHBOARD!$C10*DASHBOARD!$D10*0.01)+('Lactalis (Gippsland &amp; West Vic)'!$E9*DASHBOARD!$C10*DASHBOARD!$E10*0.01)+('Lactalis (Gippsland &amp; West Vic)'!$F9*DASHBOARD!$C10*DASHBOARD!$D10*0.01)+('Lactalis (Gippsland &amp; West Vic)'!$G9*DASHBOARD!$C10*DASHBOARD!$E10*0.01)</f>
        <v>66808</v>
      </c>
      <c r="Q85" s="13">
        <f>(DASHBOARD!$C10*DASHBOARD!$D10*0.01*'Saputo (Gippsland)'!$C29)+(DASHBOARD!$C10*DASHBOARD!$E10*0.01*'Saputo (Gippsland)'!$D29)</f>
        <v>56784</v>
      </c>
      <c r="R85" s="13">
        <f>('Saputo (Gippsland)'!$C9*DASHBOARD!$C10*DASHBOARD!$D10*0.01)+('Saputo (Gippsland)'!$D9*DASHBOARD!$C10*DASHBOARD!$E10*0.01)+('Saputo (Gippsland)'!$E9*DASHBOARD!$C10*DASHBOARD!$D10*0.01)+('Saputo (Gippsland)'!$F9*DASHBOARD!$C10*DASHBOARD!$E10*0.01)+('Saputo (Gippsland)'!$G9*DASHBOARD!$C10*DASHBOARD!$D10*0.01)+('Saputo (Gippsland)'!$H9*DASHBOARD!$C10*DASHBOARD!$E10*0.01)</f>
        <v>53560</v>
      </c>
      <c r="T85" s="39" t="s">
        <v>65</v>
      </c>
      <c r="U85" s="13">
        <f>(DASHBOARD!$C10*DASHBOARD!$D10*0.01*'Bega (Bega &amp; Bodalla)'!$D25)+(DASHBOARD!$C10*DASHBOARD!$E10*0.01*'Bega (Bega &amp; Bodalla)'!$E25)+(DASHBOARD!$C10*DASHBOARD!$D10*0.01*'Bega (Bega &amp; Bodalla)'!$F25)+(DASHBOARD!$C10*DASHBOARD!$E10*0.01*'Bega (Bega &amp; Bodalla)'!$G25)-('Bega (Bega &amp; Bodalla)'!$I25*DASHBOARD!$C10)-('Bega (Bega &amp; Bodalla)'!$H25)</f>
        <v>60503.200000000004</v>
      </c>
      <c r="V85" s="13">
        <f>('Bega (Bega &amp; Bodalla)'!$D9*DASHBOARD!$C10*DASHBOARD!$D10*0.01)+('Bega (Bega &amp; Bodalla)'!$E9*DASHBOARD!$C10*DASHBOARD!$E10*0.01)+('Bega (Bega &amp; Bodalla)'!$F9*DASHBOARD!$C10*DASHBOARD!$D10*0.01)+('Bega (Bega &amp; Bodalla)'!$G9*DASHBOARD!$C10*DASHBOARD!$E10*0.01)-('Bega (Bega &amp; Bodalla)'!$H9)-('Bega (Bega &amp; Bodalla)'!$I9*DASHBOARD!$C10)</f>
        <v>62936.800000000003</v>
      </c>
      <c r="W85" s="13">
        <f>('Coles (NSW South Coast)'!$D10*DASHBOARD!$C10*DASHBOARD!$D10*0.01)+('Coles (NSW South Coast)'!$E10*DASHBOARD!$C10*DASHBOARD!$E10*0.01)-('Coles (NSW South Coast)'!$F10)</f>
        <v>81803</v>
      </c>
      <c r="X85" s="13">
        <f>('Lactalis (NSW)'!$C8*DASHBOARD!$C10)+('Lactalis (NSW)'!$D8*DASHBOARD!$C10)+('Lactalis (NSW)'!$E8*DASHBOARD!$C10)+('Lactalis (NSW)'!$F8*DASHBOARD!$C10*DASHBOARD!$D10*0.01)+('Lactalis (NSW)'!$G8*DASHBOARD!$C10*DASHBOARD!$E10*0.01)</f>
        <v>71343.69</v>
      </c>
      <c r="Y85" s="13">
        <f>('Saputo (NSW Metro)'!$C9*DASHBOARD!$C10*DASHBOARD!$D10*0.01)+('Saputo (NSW Metro)'!$D9*DASHBOARD!$C10*DASHBOARD!$E10*0.01)+('Saputo (NSW Metro)'!$E9*DASHBOARD!$C10*DASHBOARD!$D10*0.01)+('Saputo (NSW Metro)'!$F9*DASHBOARD!$C10*DASHBOARD!$E10*0.01)</f>
        <v>74048</v>
      </c>
    </row>
    <row r="86" spans="3:25">
      <c r="C86" s="11"/>
      <c r="D86" s="39" t="s">
        <v>66</v>
      </c>
      <c r="E86" s="13">
        <f>(ACM!$D10*DASHBOARD!$D11*DASHBOARD!$C11*0.01)+(ACM!$E10*DASHBOARD!$E11*DASHBOARD!$C11*0.01)+(ACM!$F10*DASHBOARD!$C11)</f>
        <v>57564</v>
      </c>
      <c r="F86" s="13">
        <f>(ADFC!$C10*0.01*DASHBOARD!$C11*DASHBOARD!$D11)+(ADFC!$D10*0.01*DASHBOARD!$C11*DASHBOARD!$E11)+(ADFC!$E10*DASHBOARD!$C11*DASHBOARD!$D11*0.01)+(ADFC!$F10*DASHBOARD!$E11*DASHBOARD!$C11*0.01)</f>
        <v>62656</v>
      </c>
      <c r="G86" s="13">
        <f>('Bega (Gippsland)'!$D10*DASHBOARD!$C11*DASHBOARD!$D11*0.01)+('Bega (Gippsland)'!$E10*DASHBOARD!$C11*DASHBOARD!$E11*0.01)+('Bega (Gippsland)'!$F10*DASHBOARD!$C11*DASHBOARD!$D11*0.01)+('Bega (Gippsland)'!$G10*DASHBOARD!$C11*DASHBOARD!$E11*0.01)-('Bega (Gippsland)'!$H10)</f>
        <v>56312</v>
      </c>
      <c r="H86" s="13">
        <f>(DASHBOARD!$C11*DASHBOARD!$D11*0.01*'Bega (Gippsland)'!$D26)+('Bega (Gippsland)'!$E26*DASHBOARD!$C11*DASHBOARD!$E11*0.01)</f>
        <v>57033.599999999999</v>
      </c>
      <c r="I86" s="13">
        <f>(DASHBOARD!$C11*DASHBOARD!$D11*0.01*'Bega (Gippsland)'!$D40)+('Bega (Gippsland)'!$E40*DASHBOARD!$C11*0.01*DASHBOARD!$E11)</f>
        <v>57240</v>
      </c>
      <c r="J86" s="13">
        <f>(Bulla!$C9*DASHBOARD!$F11)</f>
        <v>62280.000000000007</v>
      </c>
      <c r="K86" s="13">
        <f>(Bulla!$C23*DASHBOARD!$C11*DASHBOARD!$D11*0.01)+(Bulla!$D23*DASHBOARD!$C11*DASHBOARD!$E11*0.01)</f>
        <v>62278.400000000001</v>
      </c>
      <c r="L86" s="13">
        <f>(Burra!$C11*DASHBOARD!$C11*DASHBOARD!$D11*0.01)+(Burra!$D11*DASHBOARD!$C11*DASHBOARD!$E11*0.01)+(Burra!$E11*DASHBOARD!$C11*DASHBOARD!$D11*0.01)+(Burra!$F11*DASHBOARD!$E11*DASHBOARD!$C11*0.01)</f>
        <v>56628</v>
      </c>
      <c r="M86" s="13">
        <f>('Coles (Vic, Riverina, &amp; SE SA)'!$D11*DASHBOARD!$C11*DASHBOARD!$D11*0.01)+('Coles (Vic, Riverina, &amp; SE SA)'!$E11*DASHBOARD!$C11*DASHBOARD!$E11*0.01)-('Coles (Vic, Riverina, &amp; SE SA)'!$F11)</f>
        <v>75435</v>
      </c>
      <c r="N86" s="13">
        <f>(Frestine!$D10*DASHBOARD!$C11*DASHBOARD!$D11*0.01)+(Frestine!$E10*DASHBOARD!$C11*DASHBOARD!$E11*0.01)</f>
        <v>57616</v>
      </c>
      <c r="O86" s="13">
        <f>DASHBOARD!$F11*Frestine!$D24</f>
        <v>57600.000000000007</v>
      </c>
      <c r="P86" s="13">
        <f>('Lactalis (Gippsland &amp; West Vic)'!$D10*DASHBOARD!$C11*DASHBOARD!$D11*0.01)+('Lactalis (Gippsland &amp; West Vic)'!$E10*DASHBOARD!$C11*DASHBOARD!$E11*0.01)+('Lactalis (Gippsland &amp; West Vic)'!$F10*DASHBOARD!$C11*DASHBOARD!$D11*0.01)+('Lactalis (Gippsland &amp; West Vic)'!$G10*DASHBOARD!$C11*DASHBOARD!$E11*0.01)</f>
        <v>66808</v>
      </c>
      <c r="Q86" s="13">
        <f>(DASHBOARD!$C11*DASHBOARD!$D11*0.01*'Saputo (Gippsland)'!$C30)+(DASHBOARD!$C11*DASHBOARD!$E11*0.01*'Saputo (Gippsland)'!$D30)</f>
        <v>56784</v>
      </c>
      <c r="R86" s="13">
        <f>('Saputo (Gippsland)'!$C10*DASHBOARD!$C11*DASHBOARD!$D11*0.01)+('Saputo (Gippsland)'!$D10*DASHBOARD!$C11*DASHBOARD!$E11*0.01)+('Saputo (Gippsland)'!$E10*DASHBOARD!$C11*DASHBOARD!$D11*0.01)+('Saputo (Gippsland)'!$F10*DASHBOARD!$C11*DASHBOARD!$E11*0.01)+('Saputo (Gippsland)'!$G10*DASHBOARD!$C11*DASHBOARD!$D11*0.01)+('Saputo (Gippsland)'!$H10*DASHBOARD!$C11*DASHBOARD!$E11*0.01)</f>
        <v>61776</v>
      </c>
      <c r="T86" s="39" t="s">
        <v>66</v>
      </c>
      <c r="U86" s="13">
        <f>(DASHBOARD!$C11*DASHBOARD!$D11*0.01*'Bega (Bega &amp; Bodalla)'!$D26)+(DASHBOARD!$C11*DASHBOARD!$E11*0.01*'Bega (Bega &amp; Bodalla)'!$E26)+(DASHBOARD!$C11*DASHBOARD!$D11*0.01*'Bega (Bega &amp; Bodalla)'!$F26)+(DASHBOARD!$C11*DASHBOARD!$E11*0.01*'Bega (Bega &amp; Bodalla)'!$G26)-('Bega (Bega &amp; Bodalla)'!$I26*DASHBOARD!$C11)-('Bega (Bega &amp; Bodalla)'!$H26)</f>
        <v>63228.800000000003</v>
      </c>
      <c r="V86" s="13">
        <f>('Bega (Bega &amp; Bodalla)'!$D10*DASHBOARD!$C11*DASHBOARD!$D11*0.01)+('Bega (Bega &amp; Bodalla)'!$E10*DASHBOARD!$C11*DASHBOARD!$E11*0.01)+('Bega (Bega &amp; Bodalla)'!$F10*DASHBOARD!$C11*DASHBOARD!$D11*0.01)+('Bega (Bega &amp; Bodalla)'!$G10*DASHBOARD!$C11*DASHBOARD!$E11*0.01)-('Bega (Bega &amp; Bodalla)'!$H10)-('Bega (Bega &amp; Bodalla)'!$I10*DASHBOARD!$C11)</f>
        <v>62936.800000000003</v>
      </c>
      <c r="W86" s="13">
        <f>('Coles (NSW South Coast)'!$D11*DASHBOARD!$C11*DASHBOARD!$D11*0.01)+('Coles (NSW South Coast)'!$E11*DASHBOARD!$C11*DASHBOARD!$E11*0.01)-('Coles (NSW South Coast)'!$F11)</f>
        <v>86395</v>
      </c>
      <c r="X86" s="13">
        <f>('Lactalis (NSW)'!$C9*DASHBOARD!$C11)+('Lactalis (NSW)'!$D9*DASHBOARD!$C11)+('Lactalis (NSW)'!$E9*DASHBOARD!$C11)+('Lactalis (NSW)'!$F9*DASHBOARD!$C11*DASHBOARD!$D11*0.01)+('Lactalis (NSW)'!$G9*DASHBOARD!$C11*DASHBOARD!$E11*0.01)</f>
        <v>76343.69</v>
      </c>
      <c r="Y86" s="13">
        <f>('Saputo (NSW Metro)'!$C10*DASHBOARD!$C11*DASHBOARD!$D11*0.01)+('Saputo (NSW Metro)'!$D10*DASHBOARD!$C11*DASHBOARD!$E11*0.01)+('Saputo (NSW Metro)'!$E10*DASHBOARD!$C11*DASHBOARD!$D11*0.01)+('Saputo (NSW Metro)'!$F10*DASHBOARD!$C11*DASHBOARD!$E11*0.01)</f>
        <v>76856</v>
      </c>
    </row>
    <row r="87" spans="3:25">
      <c r="C87" s="11"/>
      <c r="D87" s="39" t="s">
        <v>67</v>
      </c>
      <c r="E87" s="13">
        <f>(ACM!$D11*DASHBOARD!$D12*DASHBOARD!$C12*0.01)+(ACM!$E11*DASHBOARD!$E12*DASHBOARD!$C12*0.01)+(ACM!$F11*DASHBOARD!$C12)</f>
        <v>57564</v>
      </c>
      <c r="F87" s="13">
        <f>(ADFC!$C11*0.01*DASHBOARD!$C12*DASHBOARD!$D12)+(ADFC!$D11*0.01*DASHBOARD!$C12*DASHBOARD!$E12)+(ADFC!$E11*DASHBOARD!$C12*DASHBOARD!$D12*0.01)+(ADFC!$F11*DASHBOARD!$E12*DASHBOARD!$C12*0.01)</f>
        <v>62656</v>
      </c>
      <c r="G87" s="13">
        <f>('Bega (Gippsland)'!$D11*DASHBOARD!$C12*DASHBOARD!$D12*0.01)+('Bega (Gippsland)'!$E11*DASHBOARD!$C12*DASHBOARD!$E12*0.01)+('Bega (Gippsland)'!$F11*DASHBOARD!$C12*DASHBOARD!$D12*0.01)+('Bega (Gippsland)'!$G11*DASHBOARD!$C12*DASHBOARD!$E12*0.01)-('Bega (Gippsland)'!$H11)</f>
        <v>56336</v>
      </c>
      <c r="H87" s="13">
        <f>(DASHBOARD!$C12*DASHBOARD!$D12*0.01*'Bega (Gippsland)'!$D27)+('Bega (Gippsland)'!$E27*DASHBOARD!$C12*DASHBOARD!$E12*0.01)</f>
        <v>57033.599999999999</v>
      </c>
      <c r="I87" s="13">
        <f>(DASHBOARD!$C12*DASHBOARD!$D12*0.01*'Bega (Gippsland)'!$D41)+('Bega (Gippsland)'!$E41*DASHBOARD!$C12*0.01*DASHBOARD!$E12)</f>
        <v>57240</v>
      </c>
      <c r="J87" s="13">
        <f>(Bulla!$C10*DASHBOARD!$F12)</f>
        <v>62280.000000000007</v>
      </c>
      <c r="K87" s="13">
        <f>(Bulla!$C24*DASHBOARD!$C12*DASHBOARD!$D12*0.01)+(Bulla!$D24*DASHBOARD!$C12*DASHBOARD!$E12*0.01)</f>
        <v>62278.400000000001</v>
      </c>
      <c r="L87" s="13">
        <f>(Burra!$C12*DASHBOARD!$C12*DASHBOARD!$D12*0.01)+(Burra!$D12*DASHBOARD!$C12*DASHBOARD!$E12*0.01)+(Burra!$E12*DASHBOARD!$C12*DASHBOARD!$D12*0.01)+(Burra!$F12*DASHBOARD!$E12*DASHBOARD!$C12*0.01)</f>
        <v>58708</v>
      </c>
      <c r="M87" s="13">
        <f>('Coles (Vic, Riverina, &amp; SE SA)'!$D12*DASHBOARD!$C12*DASHBOARD!$D12*0.01)+('Coles (Vic, Riverina, &amp; SE SA)'!$E12*DASHBOARD!$C12*DASHBOARD!$E12*0.01)-('Coles (Vic, Riverina, &amp; SE SA)'!$F12)</f>
        <v>75660</v>
      </c>
      <c r="N87" s="13">
        <f>(Frestine!$D11*DASHBOARD!$C12*DASHBOARD!$D12*0.01)+(Frestine!$E11*DASHBOARD!$C12*DASHBOARD!$E12*0.01)</f>
        <v>57616</v>
      </c>
      <c r="O87" s="13">
        <f>DASHBOARD!$F12*Frestine!$D25</f>
        <v>57600.000000000007</v>
      </c>
      <c r="P87" s="13">
        <f>('Lactalis (Gippsland &amp; West Vic)'!$D11*DASHBOARD!$C12*DASHBOARD!$D12*0.01)+('Lactalis (Gippsland &amp; West Vic)'!$E11*DASHBOARD!$C12*DASHBOARD!$E12*0.01)+('Lactalis (Gippsland &amp; West Vic)'!$F11*DASHBOARD!$C12*DASHBOARD!$D12*0.01)+('Lactalis (Gippsland &amp; West Vic)'!$G11*DASHBOARD!$C12*DASHBOARD!$E12*0.01)</f>
        <v>66808</v>
      </c>
      <c r="Q87" s="13">
        <f>(DASHBOARD!$C12*DASHBOARD!$D12*0.01*'Saputo (Gippsland)'!$C31)+(DASHBOARD!$C12*DASHBOARD!$E12*0.01*'Saputo (Gippsland)'!$D31)</f>
        <v>56784</v>
      </c>
      <c r="R87" s="13">
        <f>('Saputo (Gippsland)'!$C11*DASHBOARD!$C12*DASHBOARD!$D12*0.01)+('Saputo (Gippsland)'!$D11*DASHBOARD!$C12*DASHBOARD!$E12*0.01)+('Saputo (Gippsland)'!$E11*DASHBOARD!$C12*DASHBOARD!$D12*0.01)+('Saputo (Gippsland)'!$F11*DASHBOARD!$C12*DASHBOARD!$E12*0.01)+('Saputo (Gippsland)'!$G11*DASHBOARD!$C12*DASHBOARD!$D12*0.01)+('Saputo (Gippsland)'!$H11*DASHBOARD!$C12*DASHBOARD!$E12*0.01)</f>
        <v>61776</v>
      </c>
      <c r="T87" s="39" t="s">
        <v>67</v>
      </c>
      <c r="U87" s="13">
        <f>(DASHBOARD!$C12*DASHBOARD!$D12*0.01*'Bega (Bega &amp; Bodalla)'!$D27)+(DASHBOARD!$C12*DASHBOARD!$E12*0.01*'Bega (Bega &amp; Bodalla)'!$E27)+(DASHBOARD!$C12*DASHBOARD!$D12*0.01*'Bega (Bega &amp; Bodalla)'!$F27)+(DASHBOARD!$C12*DASHBOARD!$E12*0.01*'Bega (Bega &amp; Bodalla)'!$G27)-('Bega (Bega &amp; Bodalla)'!$I27*DASHBOARD!$C12)-('Bega (Bega &amp; Bodalla)'!$H27)</f>
        <v>64559.200000000012</v>
      </c>
      <c r="V87" s="13">
        <f>('Bega (Bega &amp; Bodalla)'!$D11*DASHBOARD!$C12*DASHBOARD!$D12*0.01)+('Bega (Bega &amp; Bodalla)'!$E11*DASHBOARD!$C12*DASHBOARD!$E12*0.01)+('Bega (Bega &amp; Bodalla)'!$F11*DASHBOARD!$C12*DASHBOARD!$D12*0.01)+('Bega (Bega &amp; Bodalla)'!$G11*DASHBOARD!$C12*DASHBOARD!$E12*0.01)-('Bega (Bega &amp; Bodalla)'!$H11)-('Bega (Bega &amp; Bodalla)'!$I11*DASHBOARD!$C12)</f>
        <v>64976.800000000003</v>
      </c>
      <c r="W87" s="13">
        <f>('Coles (NSW South Coast)'!$D12*DASHBOARD!$C12*DASHBOARD!$D12*0.01)+('Coles (NSW South Coast)'!$E12*DASHBOARD!$C12*DASHBOARD!$E12*0.01)-('Coles (NSW South Coast)'!$F12)</f>
        <v>86620</v>
      </c>
      <c r="X87" s="13">
        <f>('Lactalis (NSW)'!$C10*DASHBOARD!$C12)+('Lactalis (NSW)'!$D10*DASHBOARD!$C12)+('Lactalis (NSW)'!$E10*DASHBOARD!$C12)+('Lactalis (NSW)'!$F10*DASHBOARD!$C12*DASHBOARD!$D12*0.01)+('Lactalis (NSW)'!$G10*DASHBOARD!$C12*DASHBOARD!$E12*0.01)</f>
        <v>76343.69</v>
      </c>
      <c r="Y87" s="13">
        <f>('Saputo (NSW Metro)'!$C11*DASHBOARD!$C12*DASHBOARD!$D12*0.01)+('Saputo (NSW Metro)'!$D11*DASHBOARD!$C12*DASHBOARD!$E12*0.01)+('Saputo (NSW Metro)'!$E11*DASHBOARD!$C12*DASHBOARD!$D12*0.01)+('Saputo (NSW Metro)'!$F11*DASHBOARD!$C12*DASHBOARD!$E12*0.01)</f>
        <v>79768</v>
      </c>
    </row>
    <row r="88" spans="3:25">
      <c r="C88" s="11"/>
      <c r="D88" s="39" t="s">
        <v>68</v>
      </c>
      <c r="E88" s="13">
        <f>(ACM!$D12*DASHBOARD!$D13*DASHBOARD!$C13*0.01)+(ACM!$E12*DASHBOARD!$E13*DASHBOARD!$C13*0.01)+(ACM!$F12*DASHBOARD!$C13)</f>
        <v>57564</v>
      </c>
      <c r="F88" s="13">
        <f>(ADFC!$C12*0.01*DASHBOARD!$C13*DASHBOARD!$D13)+(ADFC!$D12*0.01*DASHBOARD!$C13*DASHBOARD!$E13)+(ADFC!$E12*DASHBOARD!$C13*DASHBOARD!$D13*0.01)+(ADFC!$F12*DASHBOARD!$E13*DASHBOARD!$C13*0.01)</f>
        <v>62656</v>
      </c>
      <c r="G88" s="13">
        <f>('Bega (Gippsland)'!$D12*DASHBOARD!$C13*DASHBOARD!$D13*0.01)+('Bega (Gippsland)'!$E12*DASHBOARD!$C13*DASHBOARD!$E13*0.01)+('Bega (Gippsland)'!$F12*DASHBOARD!$C13*DASHBOARD!$D13*0.01)+('Bega (Gippsland)'!$G12*DASHBOARD!$C13*DASHBOARD!$E13*0.01)-('Bega (Gippsland)'!$H12)</f>
        <v>56312</v>
      </c>
      <c r="H88" s="13">
        <f>(DASHBOARD!$C13*DASHBOARD!$D13*0.01*'Bega (Gippsland)'!$D28)+('Bega (Gippsland)'!$E28*DASHBOARD!$C13*DASHBOARD!$E13*0.01)</f>
        <v>57033.599999999999</v>
      </c>
      <c r="I88" s="13">
        <f>(DASHBOARD!$C13*DASHBOARD!$D13*0.01*'Bega (Gippsland)'!$D42)+('Bega (Gippsland)'!$E42*DASHBOARD!$C13*0.01*DASHBOARD!$E13)</f>
        <v>57240</v>
      </c>
      <c r="J88" s="13">
        <f>(Bulla!$C11*DASHBOARD!$F13)</f>
        <v>62280.000000000007</v>
      </c>
      <c r="K88" s="13">
        <f>(Bulla!$C25*DASHBOARD!$C13*DASHBOARD!$D13*0.01)+(Bulla!$D25*DASHBOARD!$C13*DASHBOARD!$E13*0.01)</f>
        <v>62278.400000000001</v>
      </c>
      <c r="L88" s="13">
        <f>(Burra!$C13*DASHBOARD!$C13*DASHBOARD!$D13*0.01)+(Burra!$D13*DASHBOARD!$C13*DASHBOARD!$E13*0.01)+(Burra!$E13*DASHBOARD!$C13*DASHBOARD!$D13*0.01)+(Burra!$F13*DASHBOARD!$E13*DASHBOARD!$C13*0.01)</f>
        <v>60788</v>
      </c>
      <c r="M88" s="13">
        <f>('Coles (Vic, Riverina, &amp; SE SA)'!$D13*DASHBOARD!$C13*DASHBOARD!$D13*0.01)+('Coles (Vic, Riverina, &amp; SE SA)'!$E13*DASHBOARD!$C13*DASHBOARD!$E13*0.01)-('Coles (Vic, Riverina, &amp; SE SA)'!$F13)</f>
        <v>75435</v>
      </c>
      <c r="N88" s="13">
        <f>(Frestine!$D12*DASHBOARD!$C13*DASHBOARD!$D13*0.01)+(Frestine!$E12*DASHBOARD!$C13*DASHBOARD!$E13*0.01)</f>
        <v>57616</v>
      </c>
      <c r="O88" s="13">
        <f>DASHBOARD!$F13*Frestine!$D26</f>
        <v>57600.000000000007</v>
      </c>
      <c r="P88" s="13">
        <f>('Lactalis (Gippsland &amp; West Vic)'!$D12*DASHBOARD!$C13*DASHBOARD!$D13*0.01)+('Lactalis (Gippsland &amp; West Vic)'!$E12*DASHBOARD!$C13*DASHBOARD!$E13*0.01)+('Lactalis (Gippsland &amp; West Vic)'!$F12*DASHBOARD!$C13*DASHBOARD!$D13*0.01)+('Lactalis (Gippsland &amp; West Vic)'!$G12*DASHBOARD!$C13*DASHBOARD!$E13*0.01)</f>
        <v>66808</v>
      </c>
      <c r="Q88" s="13">
        <f>(DASHBOARD!$C13*DASHBOARD!$D13*0.01*'Saputo (Gippsland)'!$C32)+(DASHBOARD!$C13*DASHBOARD!$E13*0.01*'Saputo (Gippsland)'!$D32)</f>
        <v>56784</v>
      </c>
      <c r="R88" s="13">
        <f>('Saputo (Gippsland)'!$C12*DASHBOARD!$C13*DASHBOARD!$D13*0.01)+('Saputo (Gippsland)'!$D12*DASHBOARD!$C13*DASHBOARD!$E13*0.01)+('Saputo (Gippsland)'!$E12*DASHBOARD!$C13*DASHBOARD!$D13*0.01)+('Saputo (Gippsland)'!$F12*DASHBOARD!$C13*DASHBOARD!$E13*0.01)+('Saputo (Gippsland)'!$G12*DASHBOARD!$C13*DASHBOARD!$D13*0.01)+('Saputo (Gippsland)'!$H12*DASHBOARD!$C13*DASHBOARD!$E13*0.01)</f>
        <v>61776</v>
      </c>
      <c r="T88" s="39" t="s">
        <v>68</v>
      </c>
      <c r="U88" s="13">
        <f>(DASHBOARD!$C13*DASHBOARD!$D13*0.01*'Bega (Bega &amp; Bodalla)'!$D28)+(DASHBOARD!$C13*DASHBOARD!$E13*0.01*'Bega (Bega &amp; Bodalla)'!$E28)+(DASHBOARD!$C13*DASHBOARD!$D13*0.01*'Bega (Bega &amp; Bodalla)'!$F28)+(DASHBOARD!$C13*DASHBOARD!$E13*0.01*'Bega (Bega &amp; Bodalla)'!$G28)-('Bega (Bega &amp; Bodalla)'!$I28*DASHBOARD!$C13)-('Bega (Bega &amp; Bodalla)'!$H28)</f>
        <v>64535.200000000012</v>
      </c>
      <c r="V88" s="13">
        <f>('Bega (Bega &amp; Bodalla)'!$D12*DASHBOARD!$C13*DASHBOARD!$D13*0.01)+('Bega (Bega &amp; Bodalla)'!$E12*DASHBOARD!$C13*DASHBOARD!$E13*0.01)+('Bega (Bega &amp; Bodalla)'!$F12*DASHBOARD!$C13*DASHBOARD!$D13*0.01)+('Bega (Bega &amp; Bodalla)'!$G12*DASHBOARD!$C13*DASHBOARD!$E13*0.01)-('Bega (Bega &amp; Bodalla)'!$H12)-('Bega (Bega &amp; Bodalla)'!$I12*DASHBOARD!$C13)</f>
        <v>68360.800000000003</v>
      </c>
      <c r="W88" s="13">
        <f>('Coles (NSW South Coast)'!$D13*DASHBOARD!$C13*DASHBOARD!$D13*0.01)+('Coles (NSW South Coast)'!$E13*DASHBOARD!$C13*DASHBOARD!$E13*0.01)-('Coles (NSW South Coast)'!$F13)</f>
        <v>86395</v>
      </c>
      <c r="X88" s="13">
        <f>('Lactalis (NSW)'!$C11*DASHBOARD!$C13)+('Lactalis (NSW)'!$D11*DASHBOARD!$C13)+('Lactalis (NSW)'!$E11*DASHBOARD!$C13)+('Lactalis (NSW)'!$F11*DASHBOARD!$C13*DASHBOARD!$D13*0.01)+('Lactalis (NSW)'!$G11*DASHBOARD!$C13*DASHBOARD!$E13*0.01)</f>
        <v>76343.69</v>
      </c>
      <c r="Y88" s="13">
        <f>('Saputo (NSW Metro)'!$C12*DASHBOARD!$C13*DASHBOARD!$D13*0.01)+('Saputo (NSW Metro)'!$D12*DASHBOARD!$C13*DASHBOARD!$E13*0.01)+('Saputo (NSW Metro)'!$E12*DASHBOARD!$C13*DASHBOARD!$D13*0.01)+('Saputo (NSW Metro)'!$F12*DASHBOARD!$C13*DASHBOARD!$E13*0.01)</f>
        <v>82472</v>
      </c>
    </row>
    <row r="89" spans="3:25">
      <c r="C89" s="11"/>
      <c r="D89" s="39" t="s">
        <v>69</v>
      </c>
      <c r="E89" s="13">
        <f>(ACM!$D13*DASHBOARD!$D14*DASHBOARD!$C14*0.01)+(ACM!$E13*DASHBOARD!$E14*DASHBOARD!$C14*0.01)+(ACM!$F13*DASHBOARD!$C14)</f>
        <v>57564</v>
      </c>
      <c r="F89" s="13">
        <f>(ADFC!$C13*0.01*DASHBOARD!$C14*DASHBOARD!$D14)+(ADFC!$D13*0.01*DASHBOARD!$C14*DASHBOARD!$E14)+(ADFC!$E13*DASHBOARD!$C14*DASHBOARD!$D14*0.01)+(ADFC!$F13*DASHBOARD!$E14*DASHBOARD!$C14*0.01)</f>
        <v>62656</v>
      </c>
      <c r="G89" s="13">
        <f>('Bega (Gippsland)'!$D13*DASHBOARD!$C14*DASHBOARD!$D14*0.01)+('Bega (Gippsland)'!$E13*DASHBOARD!$C14*DASHBOARD!$E14*0.01)+('Bega (Gippsland)'!$F13*DASHBOARD!$C14*DASHBOARD!$D14*0.01)+('Bega (Gippsland)'!$G13*DASHBOARD!$C14*DASHBOARD!$E14*0.01)-('Bega (Gippsland)'!$H13)</f>
        <v>56320</v>
      </c>
      <c r="H89" s="13">
        <f>(DASHBOARD!$C14*DASHBOARD!$D14*0.01*'Bega (Gippsland)'!$D29)+('Bega (Gippsland)'!$E29*DASHBOARD!$C14*DASHBOARD!$E14*0.01)</f>
        <v>57033.599999999999</v>
      </c>
      <c r="I89" s="13">
        <f>(DASHBOARD!$C14*DASHBOARD!$D14*0.01*'Bega (Gippsland)'!$D43)+('Bega (Gippsland)'!$E43*DASHBOARD!$C14*0.01*DASHBOARD!$E14)</f>
        <v>57240</v>
      </c>
      <c r="J89" s="13">
        <f>(Bulla!$C12*DASHBOARD!$F14)</f>
        <v>62280.000000000007</v>
      </c>
      <c r="K89" s="13">
        <f>(Bulla!$C26*DASHBOARD!$C14*DASHBOARD!$D14*0.01)+(Bulla!$D26*DASHBOARD!$C14*DASHBOARD!$E14*0.01)</f>
        <v>62278.400000000001</v>
      </c>
      <c r="L89" s="13">
        <f>(Burra!$C14*DASHBOARD!$C14*DASHBOARD!$D14*0.01)+(Burra!$D14*DASHBOARD!$C14*DASHBOARD!$E14*0.01)+(Burra!$E14*DASHBOARD!$C14*DASHBOARD!$D14*0.01)+(Burra!$F14*DASHBOARD!$E14*DASHBOARD!$C14*0.01)</f>
        <v>62868</v>
      </c>
      <c r="M89" s="13">
        <f>('Coles (Vic, Riverina, &amp; SE SA)'!$D14*DASHBOARD!$C14*DASHBOARD!$D14*0.01)+('Coles (Vic, Riverina, &amp; SE SA)'!$E14*DASHBOARD!$C14*DASHBOARD!$E14*0.01)-('Coles (Vic, Riverina, &amp; SE SA)'!$F14)</f>
        <v>75510</v>
      </c>
      <c r="N89" s="13">
        <f>(Frestine!$D13*DASHBOARD!$C14*DASHBOARD!$D14*0.01)+(Frestine!$E13*DASHBOARD!$C14*DASHBOARD!$E14*0.01)</f>
        <v>57616</v>
      </c>
      <c r="O89" s="13">
        <f>DASHBOARD!$F14*Frestine!$D27</f>
        <v>57600.000000000007</v>
      </c>
      <c r="P89" s="13">
        <f>('Lactalis (Gippsland &amp; West Vic)'!$D13*DASHBOARD!$C14*DASHBOARD!$D14*0.01)+('Lactalis (Gippsland &amp; West Vic)'!$E13*DASHBOARD!$C14*DASHBOARD!$E14*0.01)+('Lactalis (Gippsland &amp; West Vic)'!$F13*DASHBOARD!$C14*DASHBOARD!$D14*0.01)+('Lactalis (Gippsland &amp; West Vic)'!$G13*DASHBOARD!$C14*DASHBOARD!$E14*0.01)</f>
        <v>66808</v>
      </c>
      <c r="Q89" s="13">
        <f>(DASHBOARD!$C14*DASHBOARD!$D14*0.01*'Saputo (Gippsland)'!$C33)+(DASHBOARD!$C14*DASHBOARD!$E14*0.01*'Saputo (Gippsland)'!$D33)</f>
        <v>56784</v>
      </c>
      <c r="R89" s="13">
        <f>('Saputo (Gippsland)'!$C13*DASHBOARD!$C14*DASHBOARD!$D14*0.01)+('Saputo (Gippsland)'!$D13*DASHBOARD!$C14*DASHBOARD!$E14*0.01)+('Saputo (Gippsland)'!$E13*DASHBOARD!$C14*DASHBOARD!$D14*0.01)+('Saputo (Gippsland)'!$F13*DASHBOARD!$C14*DASHBOARD!$E14*0.01)+('Saputo (Gippsland)'!$G13*DASHBOARD!$C14*DASHBOARD!$D14*0.01)+('Saputo (Gippsland)'!$H13*DASHBOARD!$C14*DASHBOARD!$E14*0.01)</f>
        <v>61776</v>
      </c>
      <c r="T89" s="39" t="s">
        <v>69</v>
      </c>
      <c r="U89" s="13">
        <f>(DASHBOARD!$C14*DASHBOARD!$D14*0.01*'Bega (Bega &amp; Bodalla)'!$D29)+(DASHBOARD!$C14*DASHBOARD!$E14*0.01*'Bega (Bega &amp; Bodalla)'!$E29)+(DASHBOARD!$C14*DASHBOARD!$D14*0.01*'Bega (Bega &amp; Bodalla)'!$F29)+(DASHBOARD!$C14*DASHBOARD!$E14*0.01*'Bega (Bega &amp; Bodalla)'!$G29)-('Bega (Bega &amp; Bodalla)'!$I29*DASHBOARD!$C14)-('Bega (Bega &amp; Bodalla)'!$H29)</f>
        <v>68359.200000000012</v>
      </c>
      <c r="V89" s="13">
        <f>('Bega (Bega &amp; Bodalla)'!$D13*DASHBOARD!$C14*DASHBOARD!$D14*0.01)+('Bega (Bega &amp; Bodalla)'!$E13*DASHBOARD!$C14*DASHBOARD!$E14*0.01)+('Bega (Bega &amp; Bodalla)'!$F13*DASHBOARD!$C14*DASHBOARD!$D14*0.01)+('Bega (Bega &amp; Bodalla)'!$G13*DASHBOARD!$C14*DASHBOARD!$E14*0.01)-('Bega (Bega &amp; Bodalla)'!$H13)-('Bega (Bega &amp; Bodalla)'!$I13*DASHBOARD!$C14)</f>
        <v>68368.800000000003</v>
      </c>
      <c r="W89" s="13">
        <f>('Coles (NSW South Coast)'!$D14*DASHBOARD!$C14*DASHBOARD!$D14*0.01)+('Coles (NSW South Coast)'!$E14*DASHBOARD!$C14*DASHBOARD!$E14*0.01)-('Coles (NSW South Coast)'!$F14)</f>
        <v>86470</v>
      </c>
      <c r="X89" s="13">
        <f>('Lactalis (NSW)'!$C12*DASHBOARD!$C14)+('Lactalis (NSW)'!$D12*DASHBOARD!$C14)+('Lactalis (NSW)'!$E12*DASHBOARD!$C14)+('Lactalis (NSW)'!$F12*DASHBOARD!$C14*DASHBOARD!$D14*0.01)+('Lactalis (NSW)'!$G12*DASHBOARD!$C14*DASHBOARD!$E14*0.01)</f>
        <v>76343.69</v>
      </c>
      <c r="Y89" s="13">
        <f>('Saputo (NSW Metro)'!$C13*DASHBOARD!$C14*DASHBOARD!$D14*0.01)+('Saputo (NSW Metro)'!$D13*DASHBOARD!$C14*DASHBOARD!$E14*0.01)+('Saputo (NSW Metro)'!$E13*DASHBOARD!$C14*DASHBOARD!$D14*0.01)+('Saputo (NSW Metro)'!$F13*DASHBOARD!$C14*DASHBOARD!$E14*0.01)</f>
        <v>82472</v>
      </c>
    </row>
    <row r="90" spans="3:25">
      <c r="C90" s="11"/>
      <c r="D90" s="39" t="s">
        <v>24</v>
      </c>
      <c r="E90" s="13">
        <f>(ACM!$D14*DASHBOARD!$D15*DASHBOARD!$C15*0.01)+(ACM!$E14*DASHBOARD!$E15*DASHBOARD!$C15*0.01)+(ACM!$F14*DASHBOARD!$C15)</f>
        <v>57564</v>
      </c>
      <c r="F90" s="13">
        <f>(ADFC!$C14*0.01*DASHBOARD!$C15*DASHBOARD!$D15)+(ADFC!$D14*0.01*DASHBOARD!$C15*DASHBOARD!$E15)+(ADFC!$E14*DASHBOARD!$C15*DASHBOARD!$D15*0.01)+(ADFC!$F14*DASHBOARD!$E15*DASHBOARD!$C15*0.01)</f>
        <v>62656</v>
      </c>
      <c r="G90" s="13">
        <f>('Bega (Gippsland)'!$D14*DASHBOARD!$C15*DASHBOARD!$D15*0.01)+('Bega (Gippsland)'!$E14*DASHBOARD!$C15*DASHBOARD!$E15*0.01)+('Bega (Gippsland)'!$F14*DASHBOARD!$C15*DASHBOARD!$D15*0.01)+('Bega (Gippsland)'!$G14*DASHBOARD!$C15*DASHBOARD!$E15*0.01)-('Bega (Gippsland)'!$H14)</f>
        <v>56312</v>
      </c>
      <c r="H90" s="13">
        <f>(DASHBOARD!$C15*DASHBOARD!$D15*0.01*'Bega (Gippsland)'!$D30)+('Bega (Gippsland)'!$E30*DASHBOARD!$C15*DASHBOARD!$E15*0.01)</f>
        <v>57033.599999999999</v>
      </c>
      <c r="I90" s="13">
        <f>(DASHBOARD!$C15*DASHBOARD!$D15*0.01*'Bega (Gippsland)'!$D44)+('Bega (Gippsland)'!$E44*DASHBOARD!$C15*0.01*DASHBOARD!$E15)</f>
        <v>57240</v>
      </c>
      <c r="J90" s="13">
        <f>(Bulla!$C13*DASHBOARD!$F15)</f>
        <v>62280.000000000007</v>
      </c>
      <c r="K90" s="13">
        <f>(Bulla!$C27*DASHBOARD!$C15*DASHBOARD!$D15*0.01)+(Bulla!$D27*DASHBOARD!$C15*DASHBOARD!$E15*0.01)</f>
        <v>62278.400000000001</v>
      </c>
      <c r="L90" s="13">
        <f>(Burra!$C15*DASHBOARD!$C15*DASHBOARD!$D15*0.01)+(Burra!$D15*DASHBOARD!$C15*DASHBOARD!$E15*0.01)+(Burra!$E15*DASHBOARD!$C15*DASHBOARD!$D15*0.01)+(Burra!$F15*DASHBOARD!$E15*DASHBOARD!$C15*0.01)</f>
        <v>64948</v>
      </c>
      <c r="M90" s="13">
        <f>('Coles (Vic, Riverina, &amp; SE SA)'!$D15*DASHBOARD!$C15*DASHBOARD!$D15*0.01)+('Coles (Vic, Riverina, &amp; SE SA)'!$E15*DASHBOARD!$C15*DASHBOARD!$E15*0.01)-('Coles (Vic, Riverina, &amp; SE SA)'!$F15)</f>
        <v>75435</v>
      </c>
      <c r="N90" s="13">
        <f>(Frestine!$D14*DASHBOARD!$C15*DASHBOARD!$D15*0.01)+(Frestine!$E14*DASHBOARD!$C15*DASHBOARD!$E15*0.01)</f>
        <v>57616</v>
      </c>
      <c r="O90" s="13">
        <f>DASHBOARD!$F15*Frestine!$D28</f>
        <v>57600.000000000007</v>
      </c>
      <c r="P90" s="13">
        <f>('Lactalis (Gippsland &amp; West Vic)'!$D14*DASHBOARD!$C15*DASHBOARD!$D15*0.01)+('Lactalis (Gippsland &amp; West Vic)'!$E14*DASHBOARD!$C15*DASHBOARD!$E15*0.01)+('Lactalis (Gippsland &amp; West Vic)'!$F14*DASHBOARD!$C15*DASHBOARD!$D15*0.01)+('Lactalis (Gippsland &amp; West Vic)'!$G14*DASHBOARD!$C15*DASHBOARD!$E15*0.01)</f>
        <v>66808</v>
      </c>
      <c r="Q90" s="13">
        <f>(DASHBOARD!$C15*DASHBOARD!$D15*0.01*'Saputo (Gippsland)'!$C34)+(DASHBOARD!$C15*DASHBOARD!$E15*0.01*'Saputo (Gippsland)'!$D34)</f>
        <v>56784</v>
      </c>
      <c r="R90" s="13">
        <f>('Saputo (Gippsland)'!$C14*DASHBOARD!$C15*DASHBOARD!$D15*0.01)+('Saputo (Gippsland)'!$D14*DASHBOARD!$C15*DASHBOARD!$E15*0.01)+('Saputo (Gippsland)'!$E14*DASHBOARD!$C15*DASHBOARD!$D15*0.01)+('Saputo (Gippsland)'!$F14*DASHBOARD!$C15*DASHBOARD!$E15*0.01)+('Saputo (Gippsland)'!$G14*DASHBOARD!$C15*DASHBOARD!$D15*0.01)+('Saputo (Gippsland)'!$H14*DASHBOARD!$C15*DASHBOARD!$E15*0.01)</f>
        <v>61776</v>
      </c>
      <c r="T90" s="39" t="s">
        <v>24</v>
      </c>
      <c r="U90" s="13">
        <f>(DASHBOARD!$C15*DASHBOARD!$D15*0.01*'Bega (Bega &amp; Bodalla)'!$D30)+(DASHBOARD!$C15*DASHBOARD!$E15*0.01*'Bega (Bega &amp; Bodalla)'!$E30)+(DASHBOARD!$C15*DASHBOARD!$D15*0.01*'Bega (Bega &amp; Bodalla)'!$F30)+(DASHBOARD!$C15*DASHBOARD!$E15*0.01*'Bega (Bega &amp; Bodalla)'!$G30)-('Bega (Bega &amp; Bodalla)'!$I30*DASHBOARD!$C15)-('Bega (Bega &amp; Bodalla)'!$H30)</f>
        <v>68351.200000000012</v>
      </c>
      <c r="V90" s="13">
        <f>('Bega (Bega &amp; Bodalla)'!$D14*DASHBOARD!$C15*DASHBOARD!$D15*0.01)+('Bega (Bega &amp; Bodalla)'!$E14*DASHBOARD!$C15*DASHBOARD!$E15*0.01)+('Bega (Bega &amp; Bodalla)'!$F14*DASHBOARD!$C15*DASHBOARD!$D15*0.01)+('Bega (Bega &amp; Bodalla)'!$G14*DASHBOARD!$C15*DASHBOARD!$E15*0.01)-('Bega (Bega &amp; Bodalla)'!$H14)-('Bega (Bega &amp; Bodalla)'!$I14*DASHBOARD!$C15)</f>
        <v>68360.800000000003</v>
      </c>
      <c r="W90" s="13">
        <f>('Coles (NSW South Coast)'!$D15*DASHBOARD!$C15*DASHBOARD!$D15*0.01)+('Coles (NSW South Coast)'!$E15*DASHBOARD!$C15*DASHBOARD!$E15*0.01)-('Coles (NSW South Coast)'!$F15)</f>
        <v>86395</v>
      </c>
      <c r="X90" s="13">
        <f>('Lactalis (NSW)'!$C13*DASHBOARD!$C15)+('Lactalis (NSW)'!$D13*DASHBOARD!$C15)+('Lactalis (NSW)'!$E13*DASHBOARD!$C15)+('Lactalis (NSW)'!$F13*DASHBOARD!$C15*DASHBOARD!$D15*0.01)+('Lactalis (NSW)'!$G13*DASHBOARD!$C15*DASHBOARD!$E15*0.01)</f>
        <v>76343.69</v>
      </c>
      <c r="Y90" s="13">
        <f>('Saputo (NSW Metro)'!$C14*DASHBOARD!$C15*DASHBOARD!$D15*0.01)+('Saputo (NSW Metro)'!$D14*DASHBOARD!$C15*DASHBOARD!$E15*0.01)+('Saputo (NSW Metro)'!$E14*DASHBOARD!$C15*DASHBOARD!$D15*0.01)+('Saputo (NSW Metro)'!$F14*DASHBOARD!$C15*DASHBOARD!$E15*0.01)</f>
        <v>82472</v>
      </c>
    </row>
    <row r="91" spans="3:25">
      <c r="C91" s="11"/>
      <c r="D91" s="39" t="s">
        <v>70</v>
      </c>
      <c r="E91" s="13">
        <f>(ACM!$D15*DASHBOARD!$D16*DASHBOARD!$C16*0.01)+(ACM!$E15*DASHBOARD!$E16*DASHBOARD!$C16*0.01)+(ACM!$F15*DASHBOARD!$C16)</f>
        <v>57564</v>
      </c>
      <c r="F91" s="13">
        <f>(ADFC!$C15*0.01*DASHBOARD!$C16*DASHBOARD!$D16)+(ADFC!$D15*0.01*DASHBOARD!$C16*DASHBOARD!$E16)+(ADFC!$E15*DASHBOARD!$C16*DASHBOARD!$D16*0.01)+(ADFC!$F15*DASHBOARD!$E16*DASHBOARD!$C16*0.01)</f>
        <v>62656</v>
      </c>
      <c r="G91" s="13">
        <f>('Bega (Gippsland)'!$D15*DASHBOARD!$C16*DASHBOARD!$D16*0.01)+('Bega (Gippsland)'!$E15*DASHBOARD!$C16*DASHBOARD!$E16*0.01)+('Bega (Gippsland)'!$F15*DASHBOARD!$C16*DASHBOARD!$D16*0.01)+('Bega (Gippsland)'!$G15*DASHBOARD!$C16*DASHBOARD!$E16*0.01)-('Bega (Gippsland)'!$H15)</f>
        <v>56312</v>
      </c>
      <c r="H91" s="13">
        <f>(DASHBOARD!$C16*DASHBOARD!$D16*0.01*'Bega (Gippsland)'!$D31)+('Bega (Gippsland)'!$E31*DASHBOARD!$C16*DASHBOARD!$E16*0.01)</f>
        <v>57033.599999999999</v>
      </c>
      <c r="I91" s="13">
        <f>(DASHBOARD!$C16*DASHBOARD!$D16*0.01*'Bega (Gippsland)'!$D45)+('Bega (Gippsland)'!$E45*DASHBOARD!$C16*0.01*DASHBOARD!$E16)</f>
        <v>57240</v>
      </c>
      <c r="J91" s="13">
        <f>(Bulla!$C14*DASHBOARD!$F16)</f>
        <v>62280.000000000007</v>
      </c>
      <c r="K91" s="13">
        <f>(Bulla!$C28*DASHBOARD!$C16*DASHBOARD!$D16*0.01)+(Bulla!$D28*DASHBOARD!$C16*DASHBOARD!$E16*0.01)</f>
        <v>62278.400000000001</v>
      </c>
      <c r="L91" s="13">
        <f>(Burra!$C16*DASHBOARD!$C16*DASHBOARD!$D16*0.01)+(Burra!$D16*DASHBOARD!$C16*DASHBOARD!$E16*0.01)+(Burra!$E16*DASHBOARD!$C16*DASHBOARD!$D16*0.01)+(Burra!$F16*DASHBOARD!$E16*DASHBOARD!$C16*0.01)</f>
        <v>64948</v>
      </c>
      <c r="M91" s="13">
        <f>('Coles (Vic, Riverina, &amp; SE SA)'!$D16*DASHBOARD!$C16*DASHBOARD!$D16*0.01)+('Coles (Vic, Riverina, &amp; SE SA)'!$E16*DASHBOARD!$C16*DASHBOARD!$E16*0.01)-('Coles (Vic, Riverina, &amp; SE SA)'!$F16)</f>
        <v>75435</v>
      </c>
      <c r="N91" s="13">
        <f>(Frestine!$D15*DASHBOARD!$C16*DASHBOARD!$D16*0.01)+(Frestine!$E15*DASHBOARD!$C16*DASHBOARD!$E16*0.01)</f>
        <v>57616</v>
      </c>
      <c r="O91" s="13">
        <f>DASHBOARD!$F16*Frestine!$D29</f>
        <v>57600.000000000007</v>
      </c>
      <c r="P91" s="13">
        <f>('Lactalis (Gippsland &amp; West Vic)'!$D15*DASHBOARD!$C16*DASHBOARD!$D16*0.01)+('Lactalis (Gippsland &amp; West Vic)'!$E15*DASHBOARD!$C16*DASHBOARD!$E16*0.01)+('Lactalis (Gippsland &amp; West Vic)'!$F15*DASHBOARD!$C16*DASHBOARD!$D16*0.01)+('Lactalis (Gippsland &amp; West Vic)'!$G15*DASHBOARD!$C16*DASHBOARD!$E16*0.01)</f>
        <v>66808</v>
      </c>
      <c r="Q91" s="13">
        <f>(DASHBOARD!$C16*DASHBOARD!$D16*0.01*'Saputo (Gippsland)'!$C35)+(DASHBOARD!$C16*DASHBOARD!$E16*0.01*'Saputo (Gippsland)'!$D35)</f>
        <v>56784</v>
      </c>
      <c r="R91" s="13">
        <f>('Saputo (Gippsland)'!$C15*DASHBOARD!$C16*DASHBOARD!$D16*0.01)+('Saputo (Gippsland)'!$D15*DASHBOARD!$C16*DASHBOARD!$E16*0.01)+('Saputo (Gippsland)'!$E15*DASHBOARD!$C16*DASHBOARD!$D16*0.01)+('Saputo (Gippsland)'!$F15*DASHBOARD!$C16*DASHBOARD!$E16*0.01)+('Saputo (Gippsland)'!$G15*DASHBOARD!$C16*DASHBOARD!$D16*0.01)+('Saputo (Gippsland)'!$H15*DASHBOARD!$C16*DASHBOARD!$E16*0.01)</f>
        <v>61776</v>
      </c>
      <c r="T91" s="39" t="s">
        <v>70</v>
      </c>
      <c r="U91" s="13">
        <f>(DASHBOARD!$C16*DASHBOARD!$D16*0.01*'Bega (Bega &amp; Bodalla)'!$D31)+(DASHBOARD!$C16*DASHBOARD!$E16*0.01*'Bega (Bega &amp; Bodalla)'!$E31)+(DASHBOARD!$C16*DASHBOARD!$D16*0.01*'Bega (Bega &amp; Bodalla)'!$F31)+(DASHBOARD!$C16*DASHBOARD!$E16*0.01*'Bega (Bega &amp; Bodalla)'!$G31)-('Bega (Bega &amp; Bodalla)'!$I31*DASHBOARD!$C16)-('Bega (Bega &amp; Bodalla)'!$H31)</f>
        <v>74454.399999999994</v>
      </c>
      <c r="V91" s="13">
        <f>('Bega (Bega &amp; Bodalla)'!$D15*DASHBOARD!$C16*DASHBOARD!$D16*0.01)+('Bega (Bega &amp; Bodalla)'!$E15*DASHBOARD!$C16*DASHBOARD!$E16*0.01)+('Bega (Bega &amp; Bodalla)'!$F15*DASHBOARD!$C16*DASHBOARD!$D16*0.01)+('Bega (Bega &amp; Bodalla)'!$G15*DASHBOARD!$C16*DASHBOARD!$E16*0.01)-('Bega (Bega &amp; Bodalla)'!$H15)-('Bega (Bega &amp; Bodalla)'!$I15*DASHBOARD!$C16)</f>
        <v>68360.800000000003</v>
      </c>
      <c r="W91" s="13">
        <f>('Coles (NSW South Coast)'!$D16*DASHBOARD!$C16*DASHBOARD!$D16*0.01)+('Coles (NSW South Coast)'!$E16*DASHBOARD!$C16*DASHBOARD!$E16*0.01)-('Coles (NSW South Coast)'!$F16)</f>
        <v>86395</v>
      </c>
      <c r="X91" s="13">
        <f>('Lactalis (NSW)'!$C14*DASHBOARD!$C16)+('Lactalis (NSW)'!$D14*DASHBOARD!$C16)+('Lactalis (NSW)'!$E14*DASHBOARD!$C16)+('Lactalis (NSW)'!$F14*DASHBOARD!$C16*DASHBOARD!$D16*0.01)+('Lactalis (NSW)'!$G14*DASHBOARD!$C16*DASHBOARD!$E16*0.01)</f>
        <v>78843.69</v>
      </c>
      <c r="Y91" s="13">
        <f>('Saputo (NSW Metro)'!$C15*DASHBOARD!$C16*DASHBOARD!$D16*0.01)+('Saputo (NSW Metro)'!$D15*DASHBOARD!$C16*DASHBOARD!$E16*0.01)+('Saputo (NSW Metro)'!$E15*DASHBOARD!$C16*DASHBOARD!$D16*0.01)+('Saputo (NSW Metro)'!$F15*DASHBOARD!$C16*DASHBOARD!$E16*0.01)</f>
        <v>79768</v>
      </c>
    </row>
    <row r="92" spans="3:25">
      <c r="C92" s="11"/>
      <c r="D92" s="11"/>
      <c r="E92" s="37"/>
      <c r="F92" s="7"/>
      <c r="G92" s="7"/>
      <c r="H92" s="7"/>
      <c r="I92" s="7"/>
      <c r="J92" s="7"/>
      <c r="K92" s="7"/>
      <c r="L92" s="9"/>
      <c r="M92" s="9"/>
      <c r="N92" s="7"/>
      <c r="O92" s="7"/>
      <c r="P92" s="9"/>
      <c r="Q92" s="9"/>
      <c r="R92" s="9"/>
      <c r="T92" s="11"/>
      <c r="U92" s="37"/>
      <c r="V92" s="37"/>
      <c r="W92" s="7"/>
      <c r="X92" s="7"/>
      <c r="Y92" s="7"/>
    </row>
    <row r="93" spans="3:25">
      <c r="C93" s="12" t="s">
        <v>26</v>
      </c>
      <c r="D93" s="36"/>
      <c r="E93" s="38">
        <f>SUM(E80:E91)</f>
        <v>677832</v>
      </c>
      <c r="F93" s="38">
        <f>SUM(F80:F91)</f>
        <v>708576</v>
      </c>
      <c r="G93" s="38">
        <f t="shared" ref="G93:I93" si="22">SUM(G80:G91)</f>
        <v>664809.60000000009</v>
      </c>
      <c r="H93" s="38">
        <f t="shared" si="22"/>
        <v>684403.19999999984</v>
      </c>
      <c r="I93" s="38">
        <f t="shared" si="22"/>
        <v>686880</v>
      </c>
      <c r="J93" s="38">
        <f>SUM(J80:J91)</f>
        <v>747360.00000000012</v>
      </c>
      <c r="K93" s="38">
        <f>SUM(K80:K91)</f>
        <v>747340.80000000016</v>
      </c>
      <c r="L93" s="38">
        <f>SUM(L80:L91)</f>
        <v>703456</v>
      </c>
      <c r="M93" s="38">
        <f>SUM(M80:M91)</f>
        <v>858534</v>
      </c>
      <c r="N93" s="38">
        <f t="shared" ref="N93:O93" si="23">SUM(N80:N91)</f>
        <v>691392</v>
      </c>
      <c r="O93" s="38">
        <f t="shared" si="23"/>
        <v>691200.00000000012</v>
      </c>
      <c r="P93" s="38">
        <f>SUM(P80:P91)</f>
        <v>768320</v>
      </c>
      <c r="Q93" s="38">
        <f>SUM(Q80:Q91)</f>
        <v>681408</v>
      </c>
      <c r="R93" s="38">
        <f>SUM(R80:R91)</f>
        <v>700232</v>
      </c>
      <c r="T93" s="36"/>
      <c r="U93" s="38">
        <f>SUM(U80:U91)</f>
        <v>791593.6</v>
      </c>
      <c r="V93" s="38">
        <f>SUM(V80:V91)</f>
        <v>796992.00000000012</v>
      </c>
      <c r="W93" s="38">
        <f>SUM(W80:W91)</f>
        <v>1018822</v>
      </c>
      <c r="X93" s="38">
        <f t="shared" ref="X93:Y93" si="24">SUM(X80:X91)</f>
        <v>894624.2799999998</v>
      </c>
      <c r="Y93" s="38">
        <f t="shared" si="24"/>
        <v>922168</v>
      </c>
    </row>
    <row r="94" spans="3:25">
      <c r="D94" s="43" t="s">
        <v>71</v>
      </c>
      <c r="E94" s="42">
        <f>E93/DASHBOARD!$C$18</f>
        <v>0.56486000000000003</v>
      </c>
      <c r="F94" s="42">
        <f>F93/DASHBOARD!$C$18</f>
        <v>0.59048</v>
      </c>
      <c r="G94" s="42">
        <f>G93/DASHBOARD!$C$18</f>
        <v>0.55400800000000006</v>
      </c>
      <c r="H94" s="42">
        <f>H93/DASHBOARD!$C$18</f>
        <v>0.57033599999999984</v>
      </c>
      <c r="I94" s="42">
        <f>I93/DASHBOARD!$C$18</f>
        <v>0.57240000000000002</v>
      </c>
      <c r="J94" s="42">
        <f>J93/DASHBOARD!$C$18</f>
        <v>0.62280000000000013</v>
      </c>
      <c r="K94" s="42">
        <f>K93/DASHBOARD!$C$18</f>
        <v>0.62278400000000012</v>
      </c>
      <c r="L94" s="42">
        <f>L93/DASHBOARD!$C$18</f>
        <v>0.58621333333333336</v>
      </c>
      <c r="M94" s="42">
        <f>M93/DASHBOARD!$C$18</f>
        <v>0.715445</v>
      </c>
      <c r="N94" s="42">
        <f>N93/DASHBOARD!$C$18</f>
        <v>0.57616000000000001</v>
      </c>
      <c r="O94" s="42">
        <f>O93/DASHBOARD!$C$18</f>
        <v>0.57600000000000007</v>
      </c>
      <c r="P94" s="42">
        <f>P93/DASHBOARD!$C$18</f>
        <v>0.64026666666666665</v>
      </c>
      <c r="Q94" s="42">
        <f>Q93/DASHBOARD!$C$18</f>
        <v>0.56784000000000001</v>
      </c>
      <c r="R94" s="42">
        <f>R93/DASHBOARD!$C$18</f>
        <v>0.58352666666666664</v>
      </c>
      <c r="S94" s="42"/>
      <c r="T94" s="42"/>
      <c r="U94" s="42">
        <f>U93/DASHBOARD!$C$18</f>
        <v>0.65966133333333332</v>
      </c>
      <c r="V94" s="42">
        <f>V93/DASHBOARD!$C$18</f>
        <v>0.66416000000000008</v>
      </c>
      <c r="W94" s="42">
        <f>W93/DASHBOARD!$C$18</f>
        <v>0.84901833333333332</v>
      </c>
      <c r="X94" s="42">
        <f>X93/DASHBOARD!$C$18</f>
        <v>0.74552023333333317</v>
      </c>
      <c r="Y94" s="42">
        <f>Y93/DASHBOARD!$C$18</f>
        <v>0.76847333333333334</v>
      </c>
    </row>
    <row r="95" spans="3:25">
      <c r="D95" s="43" t="s">
        <v>72</v>
      </c>
      <c r="E95" s="42">
        <f>E93/DASHBOARD!$F$18</f>
        <v>7.8452777777777767</v>
      </c>
      <c r="F95" s="42">
        <f>F93/DASHBOARD!$F$18</f>
        <v>8.2011111111111106</v>
      </c>
      <c r="G95" s="42">
        <f>G93/DASHBOARD!$F$18</f>
        <v>7.6945555555555556</v>
      </c>
      <c r="H95" s="42">
        <f>H93/DASHBOARD!$F$18</f>
        <v>7.9213333333333305</v>
      </c>
      <c r="I95" s="42">
        <f>I93/DASHBOARD!$F$18</f>
        <v>7.9499999999999984</v>
      </c>
      <c r="J95" s="42">
        <f>J93/DASHBOARD!$F$18</f>
        <v>8.65</v>
      </c>
      <c r="K95" s="42">
        <f>K93/DASHBOARD!$F$18</f>
        <v>8.6497777777777785</v>
      </c>
      <c r="L95" s="42">
        <f>L93/DASHBOARD!$F$18</f>
        <v>8.1418518518518503</v>
      </c>
      <c r="M95" s="42">
        <f>M93/DASHBOARD!$F$18</f>
        <v>9.9367361111111094</v>
      </c>
      <c r="N95" s="42">
        <f>N93/DASHBOARD!$F$18</f>
        <v>8.0022222222222208</v>
      </c>
      <c r="O95" s="42">
        <f>O93/DASHBOARD!$F$18</f>
        <v>8</v>
      </c>
      <c r="P95" s="42">
        <f>P93/DASHBOARD!$F$18</f>
        <v>8.8925925925925906</v>
      </c>
      <c r="Q95" s="42">
        <f>Q93/DASHBOARD!$F$18</f>
        <v>7.8866666666666649</v>
      </c>
      <c r="R95" s="42">
        <f>R93/DASHBOARD!$F$18</f>
        <v>8.1045370370370353</v>
      </c>
      <c r="S95" s="42"/>
      <c r="T95" s="42"/>
      <c r="U95" s="42">
        <f>U93/DASHBOARD!$F$18</f>
        <v>9.1619629629629618</v>
      </c>
      <c r="V95" s="42">
        <f>V93/DASHBOARD!$F$18</f>
        <v>9.224444444444444</v>
      </c>
      <c r="W95" s="42">
        <f>W93/DASHBOARD!$F$18</f>
        <v>11.791921296296294</v>
      </c>
      <c r="X95" s="42">
        <f>X93/DASHBOARD!$F$18</f>
        <v>10.354447685185182</v>
      </c>
      <c r="Y95" s="42">
        <f>Y93/DASHBOARD!$F$18</f>
        <v>10.67324074074074</v>
      </c>
    </row>
  </sheetData>
  <sheetProtection algorithmName="SHA-512" hashValue="ZXtSLbqu45Nzp09Eg8otnjGAatNFwLC7qWDkta/aF7ChifGQQbZW7EFmZdNUS8zDwXyiXuQGOYhPIhapzVuFxw==" saltValue="R7lYycUFNSGLFk28cOQb1w==" spinCount="100000" sheet="1" objects="1" scenarios="1"/>
  <phoneticPr fontId="12" type="noConversion"/>
  <pageMargins left="0.25" right="0.25" top="0.75" bottom="0.75" header="0.3" footer="0.3"/>
  <pageSetup paperSize="9" fitToWidth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3389-7190-4CB7-81D1-78754CEB1B87}">
  <sheetPr>
    <pageSetUpPr fitToPage="1"/>
  </sheetPr>
  <dimension ref="B2:N121"/>
  <sheetViews>
    <sheetView tabSelected="1" topLeftCell="A2" workbookViewId="0">
      <selection activeCell="D31" sqref="D31"/>
    </sheetView>
  </sheetViews>
  <sheetFormatPr defaultRowHeight="15"/>
  <cols>
    <col min="2" max="2" width="41" bestFit="1" customWidth="1"/>
    <col min="3" max="3" width="16.28515625" bestFit="1" customWidth="1"/>
    <col min="4" max="4" width="20.5703125" customWidth="1"/>
    <col min="5" max="5" width="24.5703125" customWidth="1"/>
    <col min="6" max="6" width="82.85546875" customWidth="1"/>
    <col min="7" max="7" width="14.7109375" bestFit="1" customWidth="1"/>
    <col min="8" max="8" width="27" bestFit="1" customWidth="1"/>
    <col min="9" max="9" width="22.85546875" bestFit="1" customWidth="1"/>
    <col min="10" max="10" width="13.7109375" bestFit="1" customWidth="1"/>
  </cols>
  <sheetData>
    <row r="2" spans="2:7">
      <c r="B2" t="s">
        <v>164</v>
      </c>
      <c r="C2" t="s">
        <v>31</v>
      </c>
      <c r="D2" t="s">
        <v>28</v>
      </c>
      <c r="E2" t="s">
        <v>29</v>
      </c>
      <c r="F2" t="s">
        <v>165</v>
      </c>
      <c r="G2" t="s">
        <v>166</v>
      </c>
    </row>
    <row r="3" spans="2:7">
      <c r="B3" s="22" t="str">
        <f>+'Headline Price Calculations'!F60</f>
        <v>Lactalis (NSW)</v>
      </c>
      <c r="C3" t="s">
        <v>127</v>
      </c>
      <c r="D3" s="42">
        <f>+'Headline Price Calculations'!$F$75</f>
        <v>0.74552023333333317</v>
      </c>
      <c r="E3" s="42">
        <f>+'Headline Price Calculations'!$F$76</f>
        <v>10.354447685185182</v>
      </c>
      <c r="F3" s="120" t="s">
        <v>167</v>
      </c>
      <c r="G3" s="42" t="s">
        <v>168</v>
      </c>
    </row>
    <row r="4" spans="2:7">
      <c r="B4" s="22" t="str">
        <f>+'Headline Price Calculations'!E60</f>
        <v>Lactalis (Qld and North NSW)</v>
      </c>
      <c r="C4" t="s">
        <v>127</v>
      </c>
      <c r="D4" s="42">
        <f>+'Headline Price Calculations'!$E$75</f>
        <v>0.84025640000000001</v>
      </c>
      <c r="E4" s="42">
        <f>+'Headline Price Calculations'!$E$76</f>
        <v>11.670227777777777</v>
      </c>
      <c r="F4" s="120" t="s">
        <v>167</v>
      </c>
      <c r="G4" s="42" t="s">
        <v>168</v>
      </c>
    </row>
    <row r="5" spans="2:7">
      <c r="B5" s="22" t="str">
        <f>+'Headline Price Calculations'!G60</f>
        <v>Norco (North NSW)</v>
      </c>
      <c r="C5" t="s">
        <v>127</v>
      </c>
      <c r="D5" s="42">
        <f>+'Headline Price Calculations'!$G$75</f>
        <v>0.77692000000000005</v>
      </c>
      <c r="E5" s="42">
        <f>+'Headline Price Calculations'!$G$76</f>
        <v>10.790555555555553</v>
      </c>
      <c r="F5" s="120" t="s">
        <v>169</v>
      </c>
      <c r="G5" s="42" t="s">
        <v>168</v>
      </c>
    </row>
    <row r="6" spans="2:7">
      <c r="B6" s="22" t="str">
        <f>+'Headline Price Calculations'!H60</f>
        <v>Saputo (NSW Metro)</v>
      </c>
      <c r="C6" t="s">
        <v>127</v>
      </c>
      <c r="D6" s="42">
        <f>+'Headline Price Calculations'!$H$75</f>
        <v>0.76847333333333334</v>
      </c>
      <c r="E6" s="42">
        <f>+'Headline Price Calculations'!$H$76</f>
        <v>10.67324074074074</v>
      </c>
      <c r="F6" s="133" t="s">
        <v>170</v>
      </c>
      <c r="G6" s="42" t="s">
        <v>168</v>
      </c>
    </row>
    <row r="7" spans="2:7">
      <c r="B7" s="22" t="str">
        <f>+'Headline Price Calculations'!N60</f>
        <v>ACM (Riverina)</v>
      </c>
      <c r="C7" t="s">
        <v>131</v>
      </c>
      <c r="D7" s="42">
        <f>+'Headline Price Calculations'!$N$75</f>
        <v>0.56486000000000003</v>
      </c>
      <c r="E7" s="42">
        <f>+'Headline Price Calculations'!$N$76</f>
        <v>7.8452777777777767</v>
      </c>
      <c r="F7" s="120" t="s">
        <v>171</v>
      </c>
      <c r="G7" s="42" t="s">
        <v>168</v>
      </c>
    </row>
    <row r="8" spans="2:7">
      <c r="B8" s="22" t="str">
        <f>+'Headline Price Calculations'!M60</f>
        <v>Bega (Riverina) [Flat 1:1]</v>
      </c>
      <c r="C8" t="s">
        <v>131</v>
      </c>
      <c r="D8" s="42">
        <f>+'Headline Price Calculations'!$M$75</f>
        <v>0.57240000000000002</v>
      </c>
      <c r="E8" s="42">
        <f>+'Headline Price Calculations'!$M$76</f>
        <v>7.9499999999999984</v>
      </c>
      <c r="F8" s="133" t="s">
        <v>172</v>
      </c>
      <c r="G8" s="42" t="s">
        <v>173</v>
      </c>
    </row>
    <row r="9" spans="2:7">
      <c r="B9" s="22" t="str">
        <f>+'Headline Price Calculations'!L60</f>
        <v>Bega (Riverina) [Flat 1:2]</v>
      </c>
      <c r="C9" t="s">
        <v>131</v>
      </c>
      <c r="D9" s="42">
        <f>+'Headline Price Calculations'!$L$75</f>
        <v>0.57033599999999984</v>
      </c>
      <c r="E9" s="42">
        <f>+'Headline Price Calculations'!$L$76</f>
        <v>7.9213333333333305</v>
      </c>
      <c r="F9" s="133" t="s">
        <v>172</v>
      </c>
      <c r="G9" s="42" t="s">
        <v>173</v>
      </c>
    </row>
    <row r="10" spans="2:7">
      <c r="B10" s="22" t="str">
        <f>+'Headline Price Calculations'!K60</f>
        <v>Bega (Riverina) [MPS 9/3]</v>
      </c>
      <c r="C10" t="s">
        <v>131</v>
      </c>
      <c r="D10" s="42">
        <f>+'Headline Price Calculations'!$K$75</f>
        <v>0.55400800000000006</v>
      </c>
      <c r="E10" s="42">
        <f>+'Headline Price Calculations'!$K$76</f>
        <v>7.6945555555555556</v>
      </c>
      <c r="F10" s="133" t="s">
        <v>172</v>
      </c>
      <c r="G10" s="42" t="s">
        <v>168</v>
      </c>
    </row>
    <row r="11" spans="2:7">
      <c r="B11" s="22" t="str">
        <f>+'Headline Price Calculations'!O60</f>
        <v>Bulla (Vic North &amp; Riverina) [1:1]</v>
      </c>
      <c r="C11" t="s">
        <v>131</v>
      </c>
      <c r="D11" s="42">
        <f>+'Headline Price Calculations'!$O$75</f>
        <v>0.62280000000000013</v>
      </c>
      <c r="E11" s="42">
        <f>+'Headline Price Calculations'!$O$76</f>
        <v>8.65</v>
      </c>
      <c r="F11" s="120" t="s">
        <v>174</v>
      </c>
      <c r="G11" s="42" t="s">
        <v>173</v>
      </c>
    </row>
    <row r="12" spans="2:7">
      <c r="B12" s="22" t="str">
        <f>+'Headline Price Calculations'!P60</f>
        <v>Bulla (Vic North &amp; Riverina) [1:2]</v>
      </c>
      <c r="C12" t="s">
        <v>131</v>
      </c>
      <c r="D12" s="42">
        <f>+'Headline Price Calculations'!$P$75</f>
        <v>0.62278400000000012</v>
      </c>
      <c r="E12" s="42">
        <f>+'Headline Price Calculations'!$P$76</f>
        <v>8.6497777777777785</v>
      </c>
      <c r="F12" s="120" t="s">
        <v>174</v>
      </c>
      <c r="G12" s="42" t="s">
        <v>173</v>
      </c>
    </row>
    <row r="13" spans="2:7">
      <c r="B13" s="22" t="str">
        <f>+'Headline Price Calculations'!Q60</f>
        <v>Coles (Riverina)</v>
      </c>
      <c r="C13" t="s">
        <v>131</v>
      </c>
      <c r="D13" s="42">
        <f>+'Headline Price Calculations'!$Q$75</f>
        <v>0.715445</v>
      </c>
      <c r="E13" s="42">
        <f>+'Headline Price Calculations'!$Q$76</f>
        <v>9.9367361111111094</v>
      </c>
      <c r="F13" s="133" t="s">
        <v>175</v>
      </c>
      <c r="G13" s="42" t="s">
        <v>168</v>
      </c>
    </row>
    <row r="14" spans="2:7">
      <c r="B14" s="22" t="str">
        <f>+'Headline Price Calculations'!S60</f>
        <v>DFMC (Riverina) [9/3]</v>
      </c>
      <c r="C14" t="s">
        <v>131</v>
      </c>
      <c r="D14" s="42">
        <f>+'Headline Price Calculations'!$S$75</f>
        <v>0.5427519999999999</v>
      </c>
      <c r="E14" s="42">
        <f>+'Headline Price Calculations'!$S$76</f>
        <v>7.5382222222222195</v>
      </c>
      <c r="F14" s="120" t="s">
        <v>176</v>
      </c>
      <c r="G14" s="42" t="s">
        <v>168</v>
      </c>
    </row>
    <row r="15" spans="2:7">
      <c r="B15" s="22" t="str">
        <f>+'Headline Price Calculations'!T60</f>
        <v>DFMC (Riverina) [Flat]</v>
      </c>
      <c r="C15" t="s">
        <v>131</v>
      </c>
      <c r="D15" s="42">
        <f>+'Headline Price Calculations'!$T$75</f>
        <v>0.55190400000000017</v>
      </c>
      <c r="E15" s="42">
        <f>+'Headline Price Calculations'!$T$76</f>
        <v>7.6653333333333338</v>
      </c>
      <c r="F15" s="120" t="s">
        <v>176</v>
      </c>
      <c r="G15" s="42" t="s">
        <v>173</v>
      </c>
    </row>
    <row r="16" spans="2:7">
      <c r="B16" s="22" t="str">
        <f>+'Headline Price Calculations'!R60</f>
        <v>DFMC (Riverina) [Traditional]</v>
      </c>
      <c r="C16" t="s">
        <v>131</v>
      </c>
      <c r="D16" s="42">
        <f>+'Headline Price Calculations'!$R$75</f>
        <v>0.54764266666666672</v>
      </c>
      <c r="E16" s="42">
        <f>+'Headline Price Calculations'!$R$76</f>
        <v>7.6061481481481481</v>
      </c>
      <c r="F16" s="120" t="s">
        <v>176</v>
      </c>
      <c r="G16" s="42" t="s">
        <v>168</v>
      </c>
    </row>
    <row r="17" spans="2:14">
      <c r="B17" s="22" t="str">
        <f>+'Headline Price Calculations'!V60</f>
        <v>Fonterra (Vic North &amp; Riverina) [7/5]</v>
      </c>
      <c r="C17" t="s">
        <v>131</v>
      </c>
      <c r="D17" s="42">
        <f>+'Headline Price Calculations'!$V$75</f>
        <v>0.59734933333333318</v>
      </c>
      <c r="E17" s="42">
        <f>+'Headline Price Calculations'!$V$76</f>
        <v>8.296518518518516</v>
      </c>
      <c r="F17" s="120" t="s">
        <v>177</v>
      </c>
      <c r="G17" s="42" t="s">
        <v>168</v>
      </c>
    </row>
    <row r="18" spans="2:14">
      <c r="B18" s="22" t="str">
        <f>+'Headline Price Calculations'!U60</f>
        <v>Fonterra (Vic North &amp; Riverina) [8/4]</v>
      </c>
      <c r="C18" t="s">
        <v>131</v>
      </c>
      <c r="D18" s="42">
        <f>+'Headline Price Calculations'!$U$75</f>
        <v>0.59441599999999983</v>
      </c>
      <c r="E18" s="42">
        <f>+'Headline Price Calculations'!$U$76</f>
        <v>8.2557777777777748</v>
      </c>
      <c r="F18" s="120" t="s">
        <v>177</v>
      </c>
      <c r="G18" s="42" t="s">
        <v>168</v>
      </c>
    </row>
    <row r="19" spans="2:14">
      <c r="B19" s="22" t="str">
        <f>+'Headline Price Calculations'!X60</f>
        <v>KY Valley (Riverina)</v>
      </c>
      <c r="C19" t="s">
        <v>131</v>
      </c>
      <c r="D19" s="42">
        <f>+'Headline Price Calculations'!$X$75</f>
        <v>0.72266666666666668</v>
      </c>
      <c r="E19" s="42">
        <f>+'Headline Price Calculations'!$X$76</f>
        <v>10.037037037037035</v>
      </c>
      <c r="F19" s="120" t="s">
        <v>178</v>
      </c>
      <c r="G19" s="42" t="s">
        <v>168</v>
      </c>
    </row>
    <row r="20" spans="2:14">
      <c r="B20" s="22" t="str">
        <f>+'Headline Price Calculations'!Z60</f>
        <v>Lactalis (NSW)</v>
      </c>
      <c r="C20" t="s">
        <v>131</v>
      </c>
      <c r="D20" s="42">
        <f>+'Headline Price Calculations'!$Z$75</f>
        <v>0.74552023333333317</v>
      </c>
      <c r="E20" s="42">
        <f>+'Headline Price Calculations'!$Z$76</f>
        <v>10.354447685185182</v>
      </c>
      <c r="F20" s="120" t="s">
        <v>167</v>
      </c>
      <c r="G20" s="42" t="s">
        <v>168</v>
      </c>
    </row>
    <row r="21" spans="2:14">
      <c r="B21" s="22" t="str">
        <f>+'Headline Price Calculations'!Y60</f>
        <v>Lactalis (Vic, Tas, Riverina)</v>
      </c>
      <c r="C21" t="s">
        <v>131</v>
      </c>
      <c r="D21" s="42">
        <f>+'Headline Price Calculations'!$Y$75</f>
        <v>0.64659999999999995</v>
      </c>
      <c r="E21" s="42">
        <f>+'Headline Price Calculations'!$Y$76</f>
        <v>8.9805555555555543</v>
      </c>
      <c r="F21" s="120" t="s">
        <v>167</v>
      </c>
      <c r="G21" s="42" t="s">
        <v>168</v>
      </c>
    </row>
    <row r="22" spans="2:14">
      <c r="B22" s="22" t="str">
        <f>+'Headline Price Calculations'!AA60</f>
        <v>Noumi (Riverina)</v>
      </c>
      <c r="C22" t="s">
        <v>131</v>
      </c>
      <c r="D22" s="42">
        <f>+'Headline Price Calculations'!$AA$75</f>
        <v>0.58311999999999997</v>
      </c>
      <c r="E22" s="42">
        <f>+'Headline Price Calculations'!$AA$76</f>
        <v>8.0988888888888884</v>
      </c>
      <c r="F22" s="120" t="s">
        <v>179</v>
      </c>
      <c r="G22" s="42" t="s">
        <v>173</v>
      </c>
      <c r="M22" s="119"/>
      <c r="N22" s="119"/>
    </row>
    <row r="23" spans="2:14">
      <c r="B23" s="22" t="str">
        <f>+'Headline Price Calculations'!W60</f>
        <v>Riverina Fresh (Riverina)</v>
      </c>
      <c r="C23" t="s">
        <v>131</v>
      </c>
      <c r="D23" s="42">
        <f>+'Headline Price Calculations'!$W$75</f>
        <v>0.54673023333333326</v>
      </c>
      <c r="E23" s="42">
        <f>+'Headline Price Calculations'!$W$76</f>
        <v>7.5934754629629611</v>
      </c>
      <c r="F23" s="120" t="s">
        <v>180</v>
      </c>
      <c r="G23" s="42" t="s">
        <v>168</v>
      </c>
    </row>
    <row r="24" spans="2:14">
      <c r="B24" s="22" t="str">
        <f>+'Headline Price Calculations'!AB60</f>
        <v>Saputo (Riverina) [7/5]</v>
      </c>
      <c r="C24" t="s">
        <v>131</v>
      </c>
      <c r="D24" s="42">
        <f>+'Headline Price Calculations'!$AB$75</f>
        <v>0.59392666666666671</v>
      </c>
      <c r="E24" s="42">
        <f>+'Headline Price Calculations'!$AB$76</f>
        <v>8.2489814814814792</v>
      </c>
      <c r="F24" s="133" t="s">
        <v>170</v>
      </c>
      <c r="G24" s="42" t="s">
        <v>168</v>
      </c>
    </row>
    <row r="25" spans="2:14">
      <c r="B25" s="22" t="str">
        <f>+'Headline Price Calculations'!AC60</f>
        <v>Saputo (Riverina) [Flat]</v>
      </c>
      <c r="C25" t="s">
        <v>131</v>
      </c>
      <c r="D25" s="42">
        <f>+'Headline Price Calculations'!$AC$75</f>
        <v>0.57823999999999998</v>
      </c>
      <c r="E25" s="42">
        <f>+'Headline Price Calculations'!$AC$76</f>
        <v>8.0311111111111106</v>
      </c>
      <c r="F25" s="133" t="s">
        <v>170</v>
      </c>
      <c r="G25" s="42" t="s">
        <v>173</v>
      </c>
    </row>
    <row r="26" spans="2:14">
      <c r="B26" s="22" t="str">
        <f>+'Headline Price Calculations'!Z41</f>
        <v>Saputo (Vic North) [Flat]</v>
      </c>
      <c r="C26" t="s">
        <v>131</v>
      </c>
      <c r="D26" s="42">
        <f>+'Headline Price Calculations'!$Z$56</f>
        <v>0.57823999999999998</v>
      </c>
      <c r="E26" s="42">
        <f>+'Headline Price Calculations'!$Z$57</f>
        <v>8.0311111111111106</v>
      </c>
      <c r="F26" s="133" t="s">
        <v>170</v>
      </c>
      <c r="G26" s="42" t="s">
        <v>173</v>
      </c>
    </row>
    <row r="27" spans="2:14">
      <c r="B27" s="22" t="str">
        <f>+'Headline Price Calculations'!U79</f>
        <v>Bega (South NSW) [MPS 1]</v>
      </c>
      <c r="C27" t="s">
        <v>160</v>
      </c>
      <c r="D27" s="42">
        <f>+'Headline Price Calculations'!$U$94</f>
        <v>0.65966133333333332</v>
      </c>
      <c r="E27" s="42">
        <f>+'Headline Price Calculations'!$U$95</f>
        <v>9.1619629629629618</v>
      </c>
      <c r="F27" s="133" t="s">
        <v>172</v>
      </c>
      <c r="G27" s="42" t="s">
        <v>168</v>
      </c>
    </row>
    <row r="28" spans="2:14">
      <c r="B28" s="22" t="str">
        <f>+'Headline Price Calculations'!V79</f>
        <v>Bega (South NSW) [MPS 2]</v>
      </c>
      <c r="C28" t="s">
        <v>160</v>
      </c>
      <c r="D28" s="42">
        <f>+'Headline Price Calculations'!$V$94</f>
        <v>0.66416000000000008</v>
      </c>
      <c r="E28" s="42">
        <f>+'Headline Price Calculations'!$V$95</f>
        <v>9.224444444444444</v>
      </c>
      <c r="F28" s="133" t="s">
        <v>172</v>
      </c>
      <c r="G28" s="42" t="s">
        <v>168</v>
      </c>
    </row>
    <row r="29" spans="2:14">
      <c r="B29" s="22" t="str">
        <f>+'Headline Price Calculations'!W79</f>
        <v>Coles (South NSW)</v>
      </c>
      <c r="C29" t="s">
        <v>160</v>
      </c>
      <c r="D29" s="42">
        <f>+'Headline Price Calculations'!$W$94</f>
        <v>0.84901833333333332</v>
      </c>
      <c r="E29" s="42">
        <f>+'Headline Price Calculations'!$W$95</f>
        <v>11.791921296296294</v>
      </c>
      <c r="F29" s="133" t="s">
        <v>175</v>
      </c>
      <c r="G29" s="42" t="s">
        <v>168</v>
      </c>
    </row>
    <row r="30" spans="2:14">
      <c r="B30" s="22" t="str">
        <f>+'Headline Price Calculations'!X79</f>
        <v>Lactalis (NSW)</v>
      </c>
      <c r="C30" t="s">
        <v>160</v>
      </c>
      <c r="D30" s="42">
        <f>+'Headline Price Calculations'!$X$94</f>
        <v>0.74552023333333317</v>
      </c>
      <c r="E30" s="42">
        <f>+'Headline Price Calculations'!$X$95</f>
        <v>10.354447685185182</v>
      </c>
      <c r="F30" s="120" t="s">
        <v>167</v>
      </c>
      <c r="G30" s="42" t="s">
        <v>168</v>
      </c>
    </row>
    <row r="31" spans="2:14">
      <c r="B31" s="22" t="str">
        <f>+'Headline Price Calculations'!Y79</f>
        <v>Saputo (NSW Metro)</v>
      </c>
      <c r="C31" t="s">
        <v>160</v>
      </c>
      <c r="D31" s="42">
        <f>+'Headline Price Calculations'!$Y$94</f>
        <v>0.76847333333333334</v>
      </c>
      <c r="E31" s="42">
        <f>+'Headline Price Calculations'!$Y$95</f>
        <v>10.67324074074074</v>
      </c>
      <c r="F31" s="121" t="s">
        <v>170</v>
      </c>
      <c r="G31" s="42" t="s">
        <v>168</v>
      </c>
    </row>
    <row r="32" spans="2:14">
      <c r="B32" s="22" t="str">
        <f>+'Headline Price Calculations'!AC41</f>
        <v>Lactalis (Qld and North NSW)</v>
      </c>
      <c r="C32" t="s">
        <v>124</v>
      </c>
      <c r="D32" s="42">
        <f>+'Headline Price Calculations'!$AC$56</f>
        <v>0.84025640000000001</v>
      </c>
      <c r="E32" s="42">
        <f>+'Headline Price Calculations'!$AC$57</f>
        <v>11.670227777777777</v>
      </c>
      <c r="F32" s="120" t="s">
        <v>167</v>
      </c>
      <c r="G32" s="42" t="s">
        <v>168</v>
      </c>
    </row>
    <row r="33" spans="2:7">
      <c r="B33" s="22" t="str">
        <f>+'Headline Price Calculations'!AD41</f>
        <v>Norco (Qld)</v>
      </c>
      <c r="C33" t="s">
        <v>124</v>
      </c>
      <c r="D33" s="42">
        <f>+'Headline Price Calculations'!$AD$56</f>
        <v>0.79983666666666664</v>
      </c>
      <c r="E33" s="42">
        <f>+'Headline Price Calculations'!$AD$57</f>
        <v>11.108842592592591</v>
      </c>
      <c r="F33" s="120" t="s">
        <v>169</v>
      </c>
      <c r="G33" s="42" t="s">
        <v>168</v>
      </c>
    </row>
    <row r="34" spans="2:7">
      <c r="B34" s="22" t="str">
        <f>+'Headline Price Calculations'!J3</f>
        <v>Bega (SA Central)</v>
      </c>
      <c r="C34" t="s">
        <v>32</v>
      </c>
      <c r="D34" s="42">
        <f>+'Headline Price Calculations'!$J$18</f>
        <v>0.6466966666666667</v>
      </c>
      <c r="E34" s="42">
        <f>+'Headline Price Calculations'!$J$19</f>
        <v>8.9818981481481472</v>
      </c>
      <c r="F34" s="121" t="s">
        <v>172</v>
      </c>
      <c r="G34" s="42" t="s">
        <v>168</v>
      </c>
    </row>
    <row r="35" spans="2:7">
      <c r="B35" s="22" t="str">
        <f>+'Headline Price Calculations'!F3</f>
        <v>Coles (SA Central)</v>
      </c>
      <c r="C35" t="s">
        <v>32</v>
      </c>
      <c r="D35" s="42">
        <f>+'Headline Price Calculations'!$F$18</f>
        <v>0.72851166666666667</v>
      </c>
      <c r="E35" s="42">
        <f>+'Headline Price Calculations'!$F$19</f>
        <v>10.118217592592591</v>
      </c>
      <c r="F35" s="121" t="s">
        <v>175</v>
      </c>
      <c r="G35" s="42" t="s">
        <v>168</v>
      </c>
    </row>
    <row r="36" spans="2:7">
      <c r="B36" s="22" t="str">
        <f>+'Headline Price Calculations'!L3</f>
        <v>DFMC (SA Central)</v>
      </c>
      <c r="C36" t="s">
        <v>32</v>
      </c>
      <c r="D36" s="42">
        <f>+'Headline Price Calculations'!$L$18</f>
        <v>0.64198</v>
      </c>
      <c r="E36" s="42">
        <f>+'Headline Price Calculations'!$L$19</f>
        <v>8.9163888888888874</v>
      </c>
      <c r="F36" s="22" t="s">
        <v>181</v>
      </c>
      <c r="G36" s="42" t="s">
        <v>168</v>
      </c>
    </row>
    <row r="37" spans="2:7">
      <c r="B37" s="22" t="str">
        <f>+'Headline Price Calculations'!K3</f>
        <v>Fleurieu (Fresian &amp; Jersey only)</v>
      </c>
      <c r="C37" t="s">
        <v>32</v>
      </c>
      <c r="D37" s="42">
        <f>+'Headline Price Calculations'!$K$18</f>
        <v>0.76</v>
      </c>
      <c r="E37" s="42">
        <f>+'Headline Price Calculations'!$K$19</f>
        <v>10.555555555555554</v>
      </c>
      <c r="F37" s="22" t="s">
        <v>182</v>
      </c>
      <c r="G37" s="42" t="s">
        <v>168</v>
      </c>
    </row>
    <row r="38" spans="2:7">
      <c r="B38" s="22" t="str">
        <f>+'Headline Price Calculations'!E3</f>
        <v>LaCasa</v>
      </c>
      <c r="C38" t="s">
        <v>32</v>
      </c>
      <c r="D38" s="42">
        <f>+'Headline Price Calculations'!$E$18</f>
        <v>0.65389333333333333</v>
      </c>
      <c r="E38" s="42">
        <f>+'Headline Price Calculations'!$E$19</f>
        <v>9.0818518518518498</v>
      </c>
      <c r="F38" s="120" t="s">
        <v>183</v>
      </c>
      <c r="G38" s="42" t="s">
        <v>168</v>
      </c>
    </row>
    <row r="39" spans="2:7">
      <c r="B39" s="22" t="str">
        <f>+'Headline Price Calculations'!I3</f>
        <v>Lactalis (SA Central)</v>
      </c>
      <c r="C39" t="s">
        <v>32</v>
      </c>
      <c r="D39" s="42">
        <f>+'Headline Price Calculations'!$I$18</f>
        <v>0.68474000000000002</v>
      </c>
      <c r="E39" s="42">
        <f>+'Headline Price Calculations'!$I$19</f>
        <v>9.5102777777777767</v>
      </c>
      <c r="F39" s="22" t="s">
        <v>167</v>
      </c>
      <c r="G39" s="42" t="s">
        <v>168</v>
      </c>
    </row>
    <row r="40" spans="2:7">
      <c r="B40" s="22" t="str">
        <f>+'Headline Price Calculations'!G3</f>
        <v>Saputo (SA Central) [7/5]</v>
      </c>
      <c r="C40" t="s">
        <v>32</v>
      </c>
      <c r="D40" s="42">
        <f>+'Headline Price Calculations'!$G$18</f>
        <v>0.59392666666666671</v>
      </c>
      <c r="E40" s="42">
        <f>+'Headline Price Calculations'!$G$19</f>
        <v>8.2489814814814792</v>
      </c>
      <c r="F40" s="121" t="s">
        <v>170</v>
      </c>
      <c r="G40" s="42" t="s">
        <v>168</v>
      </c>
    </row>
    <row r="41" spans="2:7">
      <c r="B41" s="22" t="str">
        <f>+'Headline Price Calculations'!H3</f>
        <v>Saputo (SA Central) [Flat]</v>
      </c>
      <c r="C41" t="s">
        <v>32</v>
      </c>
      <c r="D41" s="42">
        <f>+'Headline Price Calculations'!$H$18</f>
        <v>0.57823999999999998</v>
      </c>
      <c r="E41" s="42">
        <f>+'Headline Price Calculations'!$H$19</f>
        <v>8.0311111111111106</v>
      </c>
      <c r="F41" s="133" t="s">
        <v>170</v>
      </c>
      <c r="G41" s="42" t="s">
        <v>173</v>
      </c>
    </row>
    <row r="42" spans="2:7">
      <c r="B42" s="22" t="str">
        <f>+'Headline Price Calculations'!P3</f>
        <v>Bega (SA Southeast) [Flat 1:1]</v>
      </c>
      <c r="C42" t="s">
        <v>44</v>
      </c>
      <c r="D42" s="42">
        <f>+'Headline Price Calculations'!$P$18</f>
        <v>0.57240000000000002</v>
      </c>
      <c r="E42" s="42">
        <f>+'Headline Price Calculations'!$P$19</f>
        <v>7.9499999999999984</v>
      </c>
      <c r="F42" s="133" t="s">
        <v>172</v>
      </c>
      <c r="G42" s="42" t="s">
        <v>173</v>
      </c>
    </row>
    <row r="43" spans="2:7">
      <c r="B43" s="22" t="str">
        <f>+'Headline Price Calculations'!O3</f>
        <v>Bega (SA Southeast) [Flat 1:2]</v>
      </c>
      <c r="C43" t="s">
        <v>44</v>
      </c>
      <c r="D43" s="42">
        <f>+'Headline Price Calculations'!$O$18</f>
        <v>0.57033599999999984</v>
      </c>
      <c r="E43" s="42">
        <f>+'Headline Price Calculations'!$O$19</f>
        <v>7.9213333333333305</v>
      </c>
      <c r="F43" s="133" t="s">
        <v>172</v>
      </c>
      <c r="G43" s="42" t="s">
        <v>173</v>
      </c>
    </row>
    <row r="44" spans="2:7">
      <c r="B44" s="22" t="str">
        <f>+'Headline Price Calculations'!Q3</f>
        <v>Bega (SA Southeast) [MPS 9/3]</v>
      </c>
      <c r="C44" t="s">
        <v>44</v>
      </c>
      <c r="D44" s="42">
        <f>+'Headline Price Calculations'!Q18</f>
        <v>0.55400800000000006</v>
      </c>
      <c r="E44" s="42">
        <f>+'Headline Price Calculations'!Q19</f>
        <v>7.6945555555555556</v>
      </c>
      <c r="F44" s="121" t="s">
        <v>172</v>
      </c>
      <c r="G44" s="42" t="s">
        <v>168</v>
      </c>
    </row>
    <row r="45" spans="2:7">
      <c r="B45" s="22" t="str">
        <f>+'Headline Price Calculations'!R3</f>
        <v>Coles (SA Southeast)</v>
      </c>
      <c r="C45" t="s">
        <v>44</v>
      </c>
      <c r="D45" s="42">
        <f>+'Headline Price Calculations'!$R$18</f>
        <v>0.715445</v>
      </c>
      <c r="E45" s="42">
        <f>+'Headline Price Calculations'!$R$19</f>
        <v>9.9367361111111094</v>
      </c>
      <c r="F45" s="133" t="s">
        <v>175</v>
      </c>
      <c r="G45" s="42" t="s">
        <v>168</v>
      </c>
    </row>
    <row r="46" spans="2:7">
      <c r="B46" s="22" t="str">
        <f>+'Headline Price Calculations'!T3</f>
        <v>Fonterra (Southeast SA &amp; Vic Southwest) [7/5]</v>
      </c>
      <c r="C46" t="s">
        <v>44</v>
      </c>
      <c r="D46" s="42">
        <f>+'Headline Price Calculations'!$T$18</f>
        <v>0.67398933333333322</v>
      </c>
      <c r="E46" s="42">
        <f>+'Headline Price Calculations'!$T$19</f>
        <v>9.3609629629629598</v>
      </c>
      <c r="F46" s="120" t="s">
        <v>177</v>
      </c>
      <c r="G46" s="42" t="s">
        <v>168</v>
      </c>
    </row>
    <row r="47" spans="2:7">
      <c r="B47" s="22" t="str">
        <f>+'Headline Price Calculations'!S3</f>
        <v>Fonterra (Southeast SA &amp; Vic Southwest) [8/4]</v>
      </c>
      <c r="C47" t="s">
        <v>44</v>
      </c>
      <c r="D47" s="42">
        <f>+'Headline Price Calculations'!$S$18</f>
        <v>0.67105599999999987</v>
      </c>
      <c r="E47" s="42">
        <f>+'Headline Price Calculations'!$S$19</f>
        <v>9.3202222222222186</v>
      </c>
      <c r="F47" s="120" t="s">
        <v>177</v>
      </c>
      <c r="G47" s="42" t="s">
        <v>168</v>
      </c>
    </row>
    <row r="48" spans="2:7">
      <c r="B48" s="22" t="str">
        <f>+'Headline Price Calculations'!U3</f>
        <v>Lactalis (SA Southeast)</v>
      </c>
      <c r="C48" t="s">
        <v>44</v>
      </c>
      <c r="D48" s="42">
        <f>+'Headline Price Calculations'!$U$18</f>
        <v>0.68474000000000002</v>
      </c>
      <c r="E48" s="42">
        <f>+'Headline Price Calculations'!$U$19</f>
        <v>9.5102777777777767</v>
      </c>
      <c r="F48" s="120" t="s">
        <v>167</v>
      </c>
      <c r="G48" s="42" t="s">
        <v>168</v>
      </c>
    </row>
    <row r="49" spans="2:7">
      <c r="B49" s="22" t="str">
        <f>+'Headline Price Calculations'!V3</f>
        <v>Saputo (SA Southeast) [7/5]</v>
      </c>
      <c r="C49" t="s">
        <v>44</v>
      </c>
      <c r="D49" s="42">
        <f>+'Headline Price Calculations'!$V$18</f>
        <v>0.59392666666666671</v>
      </c>
      <c r="E49" s="42">
        <f>+'Headline Price Calculations'!$V$19</f>
        <v>8.2489814814814792</v>
      </c>
      <c r="F49" s="133" t="s">
        <v>170</v>
      </c>
      <c r="G49" s="42" t="s">
        <v>168</v>
      </c>
    </row>
    <row r="50" spans="2:7">
      <c r="B50" s="22" t="str">
        <f>+'Headline Price Calculations'!W3</f>
        <v>Saputo (SA Southeast) [Flat]</v>
      </c>
      <c r="C50" t="s">
        <v>44</v>
      </c>
      <c r="D50" s="42">
        <f>+'Headline Price Calculations'!$W$18</f>
        <v>0.57823999999999998</v>
      </c>
      <c r="E50" s="42">
        <f>+'Headline Price Calculations'!$W$19</f>
        <v>8.0311111111111106</v>
      </c>
      <c r="F50" s="133" t="s">
        <v>170</v>
      </c>
      <c r="G50" s="42" t="s">
        <v>173</v>
      </c>
    </row>
    <row r="51" spans="2:7">
      <c r="B51" s="22" t="str">
        <f>+'Headline Price Calculations'!Y3</f>
        <v>UDC (SA Southeast) [7/5]</v>
      </c>
      <c r="C51" t="s">
        <v>44</v>
      </c>
      <c r="D51" s="42">
        <f>+'Headline Price Calculations'!$Y$18</f>
        <v>0.56810400000000016</v>
      </c>
      <c r="E51" s="42">
        <f>+'Headline Price Calculations'!$Y$19</f>
        <v>7.8903333333333343</v>
      </c>
      <c r="F51" s="133" t="s">
        <v>184</v>
      </c>
      <c r="G51" s="42" t="s">
        <v>168</v>
      </c>
    </row>
    <row r="52" spans="2:7">
      <c r="B52" s="22" t="str">
        <f>+'Headline Price Calculations'!X3</f>
        <v>UDC (SA Southeast) [9/3]</v>
      </c>
      <c r="C52" t="s">
        <v>44</v>
      </c>
      <c r="D52" s="42">
        <f>+'Headline Price Calculations'!$X$18</f>
        <v>0.63410400000000011</v>
      </c>
      <c r="E52" s="42">
        <f>+'Headline Price Calculations'!$X$19</f>
        <v>8.8070000000000004</v>
      </c>
      <c r="F52" s="133" t="s">
        <v>184</v>
      </c>
      <c r="G52" s="42" t="s">
        <v>168</v>
      </c>
    </row>
    <row r="53" spans="2:7">
      <c r="B53" s="22" t="str">
        <f>+'Headline Price Calculations'!E22</f>
        <v>Bega (Tas)</v>
      </c>
      <c r="C53" t="s">
        <v>73</v>
      </c>
      <c r="D53" s="42">
        <f>+'Headline Price Calculations'!$E$37</f>
        <v>0.67206999999999995</v>
      </c>
      <c r="E53" s="42">
        <f>+'Headline Price Calculations'!$E$38</f>
        <v>9.3343055555555541</v>
      </c>
      <c r="F53" s="133" t="s">
        <v>172</v>
      </c>
      <c r="G53" s="42" t="s">
        <v>168</v>
      </c>
    </row>
    <row r="54" spans="2:7">
      <c r="B54" s="22" t="str">
        <f>+'Headline Price Calculations'!F22</f>
        <v>Coles (Tas)</v>
      </c>
      <c r="C54" t="s">
        <v>73</v>
      </c>
      <c r="D54" s="42">
        <f>+'Headline Price Calculations'!$F$37</f>
        <v>0.715445</v>
      </c>
      <c r="E54" s="42">
        <f>+'Headline Price Calculations'!$F$38</f>
        <v>9.9367361111111094</v>
      </c>
      <c r="F54" s="120" t="s">
        <v>175</v>
      </c>
      <c r="G54" s="42" t="s">
        <v>168</v>
      </c>
    </row>
    <row r="55" spans="2:7">
      <c r="B55" s="22" t="str">
        <f>+'Headline Price Calculations'!H22</f>
        <v>Fonterra (Tas) [7/5]</v>
      </c>
      <c r="C55" t="s">
        <v>73</v>
      </c>
      <c r="D55" s="42">
        <f>+'Headline Price Calculations'!$H$37</f>
        <v>0.55994266666666648</v>
      </c>
      <c r="E55" s="42">
        <f>+'Headline Price Calculations'!$H$38</f>
        <v>7.7769814814814779</v>
      </c>
      <c r="F55" s="120" t="s">
        <v>177</v>
      </c>
      <c r="G55" s="42" t="s">
        <v>168</v>
      </c>
    </row>
    <row r="56" spans="2:7">
      <c r="B56" s="22" t="str">
        <f>+'Headline Price Calculations'!G22</f>
        <v>Fonterra (Tas) [8/4]</v>
      </c>
      <c r="C56" t="s">
        <v>73</v>
      </c>
      <c r="D56" s="42">
        <f>+'Headline Price Calculations'!$G$37</f>
        <v>0.55403599999999986</v>
      </c>
      <c r="E56" s="42">
        <f>+'Headline Price Calculations'!$G$38</f>
        <v>7.6949444444444417</v>
      </c>
      <c r="F56" s="120" t="s">
        <v>177</v>
      </c>
      <c r="G56" s="42" t="s">
        <v>168</v>
      </c>
    </row>
    <row r="57" spans="2:7">
      <c r="B57" s="22" t="str">
        <f>+'Headline Price Calculations'!I22</f>
        <v>Lactalis (Tas)</v>
      </c>
      <c r="C57" t="s">
        <v>73</v>
      </c>
      <c r="D57" s="42">
        <f>+'Headline Price Calculations'!$I$37</f>
        <v>0.64659999999999995</v>
      </c>
      <c r="E57" s="42">
        <f>+'Headline Price Calculations'!$I$38</f>
        <v>8.9805555555555543</v>
      </c>
      <c r="F57" s="120" t="s">
        <v>167</v>
      </c>
      <c r="G57" s="42" t="s">
        <v>168</v>
      </c>
    </row>
    <row r="58" spans="2:7">
      <c r="B58" s="22" t="str">
        <f>+'Headline Price Calculations'!J22</f>
        <v>Mondelez</v>
      </c>
      <c r="C58" t="s">
        <v>73</v>
      </c>
      <c r="D58" s="42">
        <f>+'Headline Price Calculations'!$J$37</f>
        <v>0.33291600000000005</v>
      </c>
      <c r="E58" s="42">
        <f>+'Headline Price Calculations'!$J$38</f>
        <v>4.6238333333333337</v>
      </c>
      <c r="F58" s="120" t="s">
        <v>185</v>
      </c>
      <c r="G58" s="42" t="s">
        <v>168</v>
      </c>
    </row>
    <row r="59" spans="2:7">
      <c r="B59" s="22" t="str">
        <f>+'Headline Price Calculations'!K22</f>
        <v>Saputo (Tas) [7/5]</v>
      </c>
      <c r="C59" t="s">
        <v>73</v>
      </c>
      <c r="D59" s="42">
        <f>+'Headline Price Calculations'!$K$37</f>
        <v>0.58320666666666665</v>
      </c>
      <c r="E59" s="42">
        <f>+'Headline Price Calculations'!$K$38</f>
        <v>8.100092592592592</v>
      </c>
      <c r="F59" s="133" t="s">
        <v>170</v>
      </c>
      <c r="G59" s="42" t="s">
        <v>168</v>
      </c>
    </row>
    <row r="60" spans="2:7">
      <c r="B60" s="22" t="str">
        <f>+'Headline Price Calculations'!L22</f>
        <v>Saputo (Tas) [Flat]</v>
      </c>
      <c r="C60" t="s">
        <v>73</v>
      </c>
      <c r="D60" s="42">
        <f>+'Headline Price Calculations'!$L$37</f>
        <v>0.56784000000000001</v>
      </c>
      <c r="E60" s="42">
        <f>+'Headline Price Calculations'!$L$38</f>
        <v>7.8866666666666649</v>
      </c>
      <c r="F60" s="133" t="s">
        <v>170</v>
      </c>
      <c r="G60" s="42" t="s">
        <v>173</v>
      </c>
    </row>
    <row r="61" spans="2:7">
      <c r="B61" s="22" t="str">
        <f>+'Headline Price Calculations'!E79</f>
        <v>ACM (Gippsland)</v>
      </c>
      <c r="C61" t="s">
        <v>146</v>
      </c>
      <c r="D61" s="42">
        <f>+'Headline Price Calculations'!$E$94</f>
        <v>0.56486000000000003</v>
      </c>
      <c r="E61" s="42">
        <f>+'Headline Price Calculations'!$E$95</f>
        <v>7.8452777777777767</v>
      </c>
      <c r="F61" s="120" t="s">
        <v>171</v>
      </c>
      <c r="G61" s="42" t="s">
        <v>168</v>
      </c>
    </row>
    <row r="62" spans="2:7">
      <c r="B62" s="22" t="str">
        <f>+'Headline Price Calculations'!F79</f>
        <v>ADFC (Gippsland)</v>
      </c>
      <c r="C62" t="s">
        <v>146</v>
      </c>
      <c r="D62" s="42">
        <f>+'Headline Price Calculations'!$F$94</f>
        <v>0.59048</v>
      </c>
      <c r="E62" s="42">
        <f>+'Headline Price Calculations'!$F$95</f>
        <v>8.2011111111111106</v>
      </c>
      <c r="F62" s="120" t="s">
        <v>186</v>
      </c>
      <c r="G62" s="42" t="s">
        <v>168</v>
      </c>
    </row>
    <row r="63" spans="2:7">
      <c r="B63" s="22" t="str">
        <f>+'Headline Price Calculations'!I79</f>
        <v>Bega (Gippsland) [Flat 1:1]</v>
      </c>
      <c r="C63" t="s">
        <v>146</v>
      </c>
      <c r="D63" s="42">
        <f>+'Headline Price Calculations'!$I$94</f>
        <v>0.57240000000000002</v>
      </c>
      <c r="E63" s="42">
        <f>+'Headline Price Calculations'!$I$95</f>
        <v>7.9499999999999984</v>
      </c>
      <c r="F63" s="133" t="s">
        <v>172</v>
      </c>
      <c r="G63" s="42" t="s">
        <v>173</v>
      </c>
    </row>
    <row r="64" spans="2:7">
      <c r="B64" s="22" t="str">
        <f>+'Headline Price Calculations'!H79</f>
        <v>Bega (Gippsland) [Flat 1:2]</v>
      </c>
      <c r="C64" t="s">
        <v>146</v>
      </c>
      <c r="D64" s="42">
        <f>+'Headline Price Calculations'!$H$94</f>
        <v>0.57033599999999984</v>
      </c>
      <c r="E64" s="42">
        <f>+'Headline Price Calculations'!$H$95</f>
        <v>7.9213333333333305</v>
      </c>
      <c r="F64" s="133" t="s">
        <v>172</v>
      </c>
      <c r="G64" s="42" t="s">
        <v>173</v>
      </c>
    </row>
    <row r="65" spans="2:7">
      <c r="B65" s="22" t="str">
        <f>+'Headline Price Calculations'!G79</f>
        <v>Bega (Gippsland) [MPS 9/3]</v>
      </c>
      <c r="C65" t="s">
        <v>146</v>
      </c>
      <c r="D65" s="42">
        <f>+'Headline Price Calculations'!$G$94</f>
        <v>0.55400800000000006</v>
      </c>
      <c r="E65" s="42">
        <f>+'Headline Price Calculations'!$G$95</f>
        <v>7.6945555555555556</v>
      </c>
      <c r="F65" s="133" t="s">
        <v>172</v>
      </c>
      <c r="G65" s="42" t="s">
        <v>168</v>
      </c>
    </row>
    <row r="66" spans="2:7">
      <c r="B66" s="22" t="str">
        <f>+'Headline Price Calculations'!J79</f>
        <v>Bulla (Gippsland) [1:1]</v>
      </c>
      <c r="C66" t="s">
        <v>146</v>
      </c>
      <c r="D66" s="42">
        <f>+'Headline Price Calculations'!$J$94</f>
        <v>0.62280000000000013</v>
      </c>
      <c r="E66" s="42">
        <f>+'Headline Price Calculations'!$J$95</f>
        <v>8.65</v>
      </c>
      <c r="F66" s="120" t="s">
        <v>174</v>
      </c>
      <c r="G66" s="42" t="s">
        <v>173</v>
      </c>
    </row>
    <row r="67" spans="2:7">
      <c r="B67" s="22" t="str">
        <f>+'Headline Price Calculations'!K79</f>
        <v>Bulla (Gippsland) [1:2]</v>
      </c>
      <c r="C67" t="s">
        <v>146</v>
      </c>
      <c r="D67" s="42">
        <f>+'Headline Price Calculations'!$K$94</f>
        <v>0.62278400000000012</v>
      </c>
      <c r="E67" s="42">
        <f>+'Headline Price Calculations'!$K$95</f>
        <v>8.6497777777777785</v>
      </c>
      <c r="F67" s="120" t="s">
        <v>174</v>
      </c>
      <c r="G67" s="42" t="s">
        <v>173</v>
      </c>
    </row>
    <row r="68" spans="2:7">
      <c r="B68" s="22" t="str">
        <f>+'Headline Price Calculations'!L79</f>
        <v>Burra (Gippsland)</v>
      </c>
      <c r="C68" t="s">
        <v>146</v>
      </c>
      <c r="D68" s="42">
        <f>+'Headline Price Calculations'!$L$94</f>
        <v>0.58621333333333336</v>
      </c>
      <c r="E68" s="42">
        <f>+'Headline Price Calculations'!$L$95</f>
        <v>8.1418518518518503</v>
      </c>
      <c r="F68" s="120" t="s">
        <v>187</v>
      </c>
      <c r="G68" s="42" t="s">
        <v>168</v>
      </c>
    </row>
    <row r="69" spans="2:7">
      <c r="B69" s="22" t="str">
        <f>+'Headline Price Calculations'!M79</f>
        <v>Coles (Gippsland)</v>
      </c>
      <c r="C69" t="s">
        <v>146</v>
      </c>
      <c r="D69" s="42">
        <f>+'Headline Price Calculations'!$M$94</f>
        <v>0.715445</v>
      </c>
      <c r="E69" s="42">
        <f>+'Headline Price Calculations'!$M$95</f>
        <v>9.9367361111111094</v>
      </c>
      <c r="F69" s="133" t="s">
        <v>175</v>
      </c>
      <c r="G69" s="42" t="s">
        <v>168</v>
      </c>
    </row>
    <row r="70" spans="2:7">
      <c r="B70" s="22" t="str">
        <f>+'Headline Price Calculations'!O79</f>
        <v>Frestine (Gippsland) [1:1]</v>
      </c>
      <c r="C70" t="s">
        <v>146</v>
      </c>
      <c r="D70" s="42">
        <f>+'Headline Price Calculations'!$O$94</f>
        <v>0.57600000000000007</v>
      </c>
      <c r="E70" s="42">
        <f>+'Headline Price Calculations'!$O$95</f>
        <v>8</v>
      </c>
      <c r="F70" s="120" t="s">
        <v>188</v>
      </c>
      <c r="G70" s="42" t="s">
        <v>173</v>
      </c>
    </row>
    <row r="71" spans="2:7">
      <c r="B71" s="22" t="str">
        <f>+'Headline Price Calculations'!N79</f>
        <v>Frestine (Gippsland) [1:2]</v>
      </c>
      <c r="C71" t="s">
        <v>146</v>
      </c>
      <c r="D71" s="42">
        <f>+'Headline Price Calculations'!$N$94</f>
        <v>0.57616000000000001</v>
      </c>
      <c r="E71" s="42">
        <f>+'Headline Price Calculations'!$N$95</f>
        <v>8.0022222222222208</v>
      </c>
      <c r="F71" s="120" t="s">
        <v>188</v>
      </c>
      <c r="G71" s="42" t="s">
        <v>173</v>
      </c>
    </row>
    <row r="72" spans="2:7">
      <c r="B72" s="22" t="str">
        <f>+'Headline Price Calculations'!P79</f>
        <v>Lactalis (Gippsland &amp; Vic Southwest)</v>
      </c>
      <c r="C72" t="s">
        <v>146</v>
      </c>
      <c r="D72" s="42">
        <f>+'Headline Price Calculations'!$P$94</f>
        <v>0.64026666666666665</v>
      </c>
      <c r="E72" s="42">
        <f>+'Headline Price Calculations'!$P$95</f>
        <v>8.8925925925925906</v>
      </c>
      <c r="F72" s="120" t="s">
        <v>167</v>
      </c>
      <c r="G72" s="42" t="s">
        <v>168</v>
      </c>
    </row>
    <row r="73" spans="2:7">
      <c r="B73" s="22" t="str">
        <f>+'Headline Price Calculations'!R79</f>
        <v>Saputo (Gippsland) [7/5]</v>
      </c>
      <c r="C73" t="s">
        <v>146</v>
      </c>
      <c r="D73" s="42">
        <f>+'Headline Price Calculations'!$R$94</f>
        <v>0.58352666666666664</v>
      </c>
      <c r="E73" s="42">
        <f>+'Headline Price Calculations'!$R$95</f>
        <v>8.1045370370370353</v>
      </c>
      <c r="F73" s="133" t="s">
        <v>170</v>
      </c>
      <c r="G73" s="42" t="s">
        <v>168</v>
      </c>
    </row>
    <row r="74" spans="2:7">
      <c r="B74" s="22" t="str">
        <f>+'Headline Price Calculations'!Q79</f>
        <v>Saputo (Gippsland) [Flat]</v>
      </c>
      <c r="C74" t="s">
        <v>146</v>
      </c>
      <c r="D74" s="42">
        <f>+'Headline Price Calculations'!$Q$94</f>
        <v>0.56784000000000001</v>
      </c>
      <c r="E74" s="42">
        <f>+'Headline Price Calculations'!$Q$95</f>
        <v>7.8866666666666649</v>
      </c>
      <c r="F74" s="133" t="s">
        <v>170</v>
      </c>
      <c r="G74" s="42" t="s">
        <v>173</v>
      </c>
    </row>
    <row r="75" spans="2:7">
      <c r="B75" s="22" t="str">
        <f>+'Headline Price Calculations'!E41</f>
        <v>ACM (Vic North)</v>
      </c>
      <c r="C75" t="s">
        <v>2</v>
      </c>
      <c r="D75" s="42">
        <f>+'Headline Price Calculations'!$E$56</f>
        <v>0.56486000000000003</v>
      </c>
      <c r="E75" s="42">
        <f>+'Headline Price Calculations'!$E$57</f>
        <v>7.8452777777777767</v>
      </c>
      <c r="F75" s="120" t="s">
        <v>171</v>
      </c>
      <c r="G75" s="42" t="s">
        <v>168</v>
      </c>
    </row>
    <row r="76" spans="2:7">
      <c r="B76" s="22" t="str">
        <f>+'Headline Price Calculations'!F41</f>
        <v>ADFC (Vic North)</v>
      </c>
      <c r="C76" t="s">
        <v>2</v>
      </c>
      <c r="D76" s="42">
        <f>+'Headline Price Calculations'!$F$56</f>
        <v>0.59048</v>
      </c>
      <c r="E76" s="42">
        <f>+'Headline Price Calculations'!$F$57</f>
        <v>8.2011111111111106</v>
      </c>
      <c r="F76" s="120" t="s">
        <v>186</v>
      </c>
      <c r="G76" s="42" t="s">
        <v>168</v>
      </c>
    </row>
    <row r="77" spans="2:7">
      <c r="B77" s="22" t="str">
        <f>+'Headline Price Calculations'!I41</f>
        <v>Bega (Vic North) [Flat 1:1]</v>
      </c>
      <c r="C77" t="s">
        <v>2</v>
      </c>
      <c r="D77" s="42">
        <f>+'Headline Price Calculations'!$I$56</f>
        <v>0.57240000000000002</v>
      </c>
      <c r="E77" s="42">
        <f>+'Headline Price Calculations'!$I$57</f>
        <v>7.9499999999999984</v>
      </c>
      <c r="F77" s="133" t="s">
        <v>172</v>
      </c>
      <c r="G77" s="42" t="s">
        <v>173</v>
      </c>
    </row>
    <row r="78" spans="2:7">
      <c r="B78" s="22" t="str">
        <f>+'Headline Price Calculations'!H41</f>
        <v>Bega (Vic North) [Flat 1:2]</v>
      </c>
      <c r="C78" t="s">
        <v>2</v>
      </c>
      <c r="D78" s="42">
        <f>+'Headline Price Calculations'!$H$56</f>
        <v>0.57033599999999984</v>
      </c>
      <c r="E78" s="42">
        <f>+'Headline Price Calculations'!$H$57</f>
        <v>7.9213333333333305</v>
      </c>
      <c r="F78" s="133" t="s">
        <v>172</v>
      </c>
      <c r="G78" s="42" t="s">
        <v>173</v>
      </c>
    </row>
    <row r="79" spans="2:7">
      <c r="B79" s="22" t="str">
        <f>+'Headline Price Calculations'!G41</f>
        <v>Bega (Vic North) [MPS 9/3]</v>
      </c>
      <c r="C79" t="s">
        <v>2</v>
      </c>
      <c r="D79" s="42">
        <f>+'Headline Price Calculations'!$G$56</f>
        <v>0.55400800000000006</v>
      </c>
      <c r="E79" s="42">
        <f>+'Headline Price Calculations'!$G$57</f>
        <v>7.6945555555555556</v>
      </c>
      <c r="F79" s="133" t="s">
        <v>172</v>
      </c>
      <c r="G79" s="42" t="s">
        <v>168</v>
      </c>
    </row>
    <row r="80" spans="2:7">
      <c r="B80" s="22" t="str">
        <f>+'Headline Price Calculations'!J41</f>
        <v>Bulla (Vic North &amp; Riverina) [1:1]</v>
      </c>
      <c r="C80" t="s">
        <v>2</v>
      </c>
      <c r="D80" s="42">
        <f>+'Headline Price Calculations'!$J$56</f>
        <v>0.62280000000000013</v>
      </c>
      <c r="E80" s="42">
        <f>+'Headline Price Calculations'!$J$57</f>
        <v>8.65</v>
      </c>
      <c r="F80" s="120" t="s">
        <v>174</v>
      </c>
      <c r="G80" s="42" t="s">
        <v>173</v>
      </c>
    </row>
    <row r="81" spans="2:7">
      <c r="B81" s="22" t="str">
        <f>+'Headline Price Calculations'!K41</f>
        <v>Bulla (Vic North &amp; Riverina) [1:2]</v>
      </c>
      <c r="C81" t="s">
        <v>2</v>
      </c>
      <c r="D81" s="42">
        <f>+'Headline Price Calculations'!$K$56</f>
        <v>0.62278400000000012</v>
      </c>
      <c r="E81" s="42">
        <f>+'Headline Price Calculations'!$K$57</f>
        <v>8.6497777777777785</v>
      </c>
      <c r="F81" s="120" t="s">
        <v>174</v>
      </c>
      <c r="G81" s="42" t="s">
        <v>173</v>
      </c>
    </row>
    <row r="82" spans="2:7">
      <c r="B82" s="22" t="str">
        <f>+'Headline Price Calculations'!L41</f>
        <v>Coles (Vic North)</v>
      </c>
      <c r="C82" t="s">
        <v>2</v>
      </c>
      <c r="D82" s="42">
        <f>+'Headline Price Calculations'!$L$56</f>
        <v>0.715445</v>
      </c>
      <c r="E82" s="42">
        <f>+'Headline Price Calculations'!$L$57</f>
        <v>9.9367361111111094</v>
      </c>
      <c r="F82" s="133" t="s">
        <v>175</v>
      </c>
      <c r="G82" s="42" t="s">
        <v>168</v>
      </c>
    </row>
    <row r="83" spans="2:7">
      <c r="B83" s="22" t="str">
        <f>+'Headline Price Calculations'!N41</f>
        <v>DFMC (Vic North) [9/3]</v>
      </c>
      <c r="C83" t="s">
        <v>2</v>
      </c>
      <c r="D83" s="42">
        <f>+'Headline Price Calculations'!$N$56</f>
        <v>0.5427519999999999</v>
      </c>
      <c r="E83" s="42">
        <f>+'Headline Price Calculations'!$N$57</f>
        <v>7.5382222222222195</v>
      </c>
      <c r="F83" s="120" t="s">
        <v>176</v>
      </c>
      <c r="G83" s="42" t="s">
        <v>168</v>
      </c>
    </row>
    <row r="84" spans="2:7">
      <c r="B84" s="22" t="str">
        <f>+'Headline Price Calculations'!O41</f>
        <v>DFMC (Vic North) [Flat]</v>
      </c>
      <c r="C84" t="s">
        <v>2</v>
      </c>
      <c r="D84" s="42">
        <f>+'Headline Price Calculations'!$O$56</f>
        <v>0.55190400000000017</v>
      </c>
      <c r="E84" s="42">
        <f>+'Headline Price Calculations'!$O$57</f>
        <v>7.6653333333333338</v>
      </c>
      <c r="F84" s="120" t="s">
        <v>176</v>
      </c>
      <c r="G84" s="42" t="s">
        <v>173</v>
      </c>
    </row>
    <row r="85" spans="2:7">
      <c r="B85" s="22" t="str">
        <f>+'Headline Price Calculations'!M41</f>
        <v>DFMC (Vic North) [Traditional]</v>
      </c>
      <c r="C85" t="s">
        <v>2</v>
      </c>
      <c r="D85" s="42">
        <f>+'Headline Price Calculations'!$M$56</f>
        <v>0.54764266666666672</v>
      </c>
      <c r="E85" s="42">
        <f>+'Headline Price Calculations'!$M$57</f>
        <v>7.6061481481481481</v>
      </c>
      <c r="F85" s="120" t="s">
        <v>176</v>
      </c>
      <c r="G85" s="42" t="s">
        <v>168</v>
      </c>
    </row>
    <row r="86" spans="2:7">
      <c r="B86" s="22" t="str">
        <f>+'Headline Price Calculations'!S41</f>
        <v>Fonterra (Vic North &amp; Riverina) [7/5]</v>
      </c>
      <c r="C86" t="s">
        <v>2</v>
      </c>
      <c r="D86" s="42">
        <f>+'Headline Price Calculations'!$S$56</f>
        <v>0.59734933333333318</v>
      </c>
      <c r="E86" s="42">
        <f>+'Headline Price Calculations'!$S$57</f>
        <v>8.296518518518516</v>
      </c>
      <c r="F86" s="120" t="s">
        <v>177</v>
      </c>
      <c r="G86" s="42" t="s">
        <v>168</v>
      </c>
    </row>
    <row r="87" spans="2:7">
      <c r="B87" s="22" t="str">
        <f>+'Headline Price Calculations'!R41</f>
        <v>Fonterra (Vic North &amp; Riverina) [8/4]</v>
      </c>
      <c r="C87" t="s">
        <v>2</v>
      </c>
      <c r="D87" s="42">
        <f>+'Headline Price Calculations'!$R$56</f>
        <v>0.59441599999999983</v>
      </c>
      <c r="E87" s="42">
        <f>+'Headline Price Calculations'!$R$57</f>
        <v>8.2557777777777748</v>
      </c>
      <c r="F87" s="120" t="s">
        <v>177</v>
      </c>
      <c r="G87" s="42" t="s">
        <v>168</v>
      </c>
    </row>
    <row r="88" spans="2:7">
      <c r="B88" s="22" t="str">
        <f>+'Headline Price Calculations'!U41</f>
        <v>Frestine (Vic North) [1:1]</v>
      </c>
      <c r="C88" t="s">
        <v>2</v>
      </c>
      <c r="D88" s="42">
        <f>+'Headline Price Calculations'!$U$56</f>
        <v>0.57600000000000007</v>
      </c>
      <c r="E88" s="42">
        <f>+'Headline Price Calculations'!$U$57</f>
        <v>8</v>
      </c>
      <c r="F88" s="120" t="s">
        <v>188</v>
      </c>
      <c r="G88" s="42" t="s">
        <v>173</v>
      </c>
    </row>
    <row r="89" spans="2:7">
      <c r="B89" s="22" t="str">
        <f>+'Headline Price Calculations'!T41</f>
        <v>Frestine (Vic North) [1:2]</v>
      </c>
      <c r="C89" t="s">
        <v>2</v>
      </c>
      <c r="D89" s="42">
        <f>+'Headline Price Calculations'!$T$56</f>
        <v>0.57616000000000001</v>
      </c>
      <c r="E89" s="42">
        <f>+'Headline Price Calculations'!$T$57</f>
        <v>8.0022222222222208</v>
      </c>
      <c r="F89" s="120" t="s">
        <v>188</v>
      </c>
      <c r="G89" s="42" t="s">
        <v>173</v>
      </c>
    </row>
    <row r="90" spans="2:7">
      <c r="B90" s="22" t="str">
        <f>+'Headline Price Calculations'!V41</f>
        <v>GVC (Vic North)</v>
      </c>
      <c r="C90" t="s">
        <v>2</v>
      </c>
      <c r="D90" s="42">
        <f>+'Headline Price Calculations'!$V$56</f>
        <v>0.62644</v>
      </c>
      <c r="E90" s="42">
        <f>+'Headline Price Calculations'!$V$57</f>
        <v>8.7005555555555549</v>
      </c>
      <c r="F90" s="120" t="s">
        <v>189</v>
      </c>
      <c r="G90" s="42" t="s">
        <v>168</v>
      </c>
    </row>
    <row r="91" spans="2:7">
      <c r="B91" s="22" t="str">
        <f>+'Headline Price Calculations'!W41</f>
        <v>KY Valley (Vic North)</v>
      </c>
      <c r="C91" t="s">
        <v>2</v>
      </c>
      <c r="D91" s="42">
        <f>+'Headline Price Calculations'!$W$56</f>
        <v>0.72266666666666668</v>
      </c>
      <c r="E91" s="42">
        <f>+'Headline Price Calculations'!$W$57</f>
        <v>10.037037037037035</v>
      </c>
      <c r="F91" s="120" t="s">
        <v>178</v>
      </c>
      <c r="G91" s="42" t="s">
        <v>168</v>
      </c>
    </row>
    <row r="92" spans="2:7">
      <c r="B92" s="22" t="str">
        <f>+'Headline Price Calculations'!X41</f>
        <v>Lactalis (Vic, Tas, and Riverina)</v>
      </c>
      <c r="C92" t="s">
        <v>2</v>
      </c>
      <c r="D92" s="42">
        <f>+'Headline Price Calculations'!$X$56</f>
        <v>0.64659999999999995</v>
      </c>
      <c r="E92" s="42">
        <f>+'Headline Price Calculations'!$X$57</f>
        <v>8.9805555555555543</v>
      </c>
      <c r="F92" s="120" t="s">
        <v>167</v>
      </c>
      <c r="G92" s="42" t="s">
        <v>168</v>
      </c>
    </row>
    <row r="93" spans="2:7">
      <c r="B93" s="22" t="str">
        <f>+'Headline Price Calculations'!Q41</f>
        <v>Noumi (Vic North)</v>
      </c>
      <c r="C93" t="s">
        <v>2</v>
      </c>
      <c r="D93" s="42">
        <f>+'Headline Price Calculations'!$Q$56</f>
        <v>0.58311999999999997</v>
      </c>
      <c r="E93" s="42">
        <f>+'Headline Price Calculations'!$Q$57</f>
        <v>8.0988888888888884</v>
      </c>
      <c r="F93" s="120" t="s">
        <v>179</v>
      </c>
      <c r="G93" s="42" t="s">
        <v>173</v>
      </c>
    </row>
    <row r="94" spans="2:7">
      <c r="B94" s="22" t="str">
        <f>+'Headline Price Calculations'!P41</f>
        <v>Riverina Fresh (Vic North)</v>
      </c>
      <c r="C94" t="s">
        <v>2</v>
      </c>
      <c r="D94" s="42">
        <f>+'Headline Price Calculations'!$P$56</f>
        <v>0.54673023333333326</v>
      </c>
      <c r="E94" s="42">
        <f>+'Headline Price Calculations'!$P$57</f>
        <v>7.5934754629629611</v>
      </c>
      <c r="F94" s="120" t="s">
        <v>180</v>
      </c>
      <c r="G94" s="42" t="s">
        <v>168</v>
      </c>
    </row>
    <row r="95" spans="2:7">
      <c r="B95" s="22" t="str">
        <f>+'Headline Price Calculations'!Y41</f>
        <v>Saputo (Vic North) [7/5]</v>
      </c>
      <c r="C95" t="s">
        <v>2</v>
      </c>
      <c r="D95" s="42">
        <f>+'Headline Price Calculations'!$Y$56</f>
        <v>0.59392666666666671</v>
      </c>
      <c r="E95" s="42">
        <f>+'Headline Price Calculations'!$Y$57</f>
        <v>8.2489814814814792</v>
      </c>
      <c r="F95" s="133" t="s">
        <v>170</v>
      </c>
      <c r="G95" s="42" t="s">
        <v>168</v>
      </c>
    </row>
    <row r="96" spans="2:7">
      <c r="B96" s="22" t="str">
        <f>+'Headline Price Calculations'!O22</f>
        <v>ACM (Vic Southwest)</v>
      </c>
      <c r="C96" t="s">
        <v>82</v>
      </c>
      <c r="D96" s="42">
        <f>+'Headline Price Calculations'!$O$37</f>
        <v>0.56486000000000003</v>
      </c>
      <c r="E96" s="42">
        <f>+'Headline Price Calculations'!$O$38</f>
        <v>7.8452777777777767</v>
      </c>
      <c r="F96" s="120" t="s">
        <v>171</v>
      </c>
      <c r="G96" s="42" t="s">
        <v>168</v>
      </c>
    </row>
    <row r="97" spans="2:7">
      <c r="B97" s="22" t="str">
        <f>+'Headline Price Calculations'!P22</f>
        <v>ADFC (Vic Southwest)</v>
      </c>
      <c r="C97" t="s">
        <v>82</v>
      </c>
      <c r="D97" s="42">
        <f>+'Headline Price Calculations'!$P$37</f>
        <v>0.59048</v>
      </c>
      <c r="E97" s="42">
        <f>+'Headline Price Calculations'!$P$38</f>
        <v>8.2011111111111106</v>
      </c>
      <c r="F97" s="120" t="s">
        <v>186</v>
      </c>
      <c r="G97" s="42" t="s">
        <v>168</v>
      </c>
    </row>
    <row r="98" spans="2:7">
      <c r="B98" s="22" t="str">
        <f>+'Headline Price Calculations'!Q22</f>
        <v>Bega (Vic Southwest) [Flat 1:1]</v>
      </c>
      <c r="C98" t="s">
        <v>82</v>
      </c>
      <c r="D98" s="42">
        <f>+'Headline Price Calculations'!$Q$37</f>
        <v>0.57240000000000002</v>
      </c>
      <c r="E98" s="42">
        <f>+'Headline Price Calculations'!$Q$38</f>
        <v>7.9499999999999984</v>
      </c>
      <c r="F98" s="133" t="s">
        <v>172</v>
      </c>
      <c r="G98" s="42" t="s">
        <v>173</v>
      </c>
    </row>
    <row r="99" spans="2:7">
      <c r="B99" s="22" t="str">
        <f>+'Headline Price Calculations'!R22</f>
        <v>Bega (Vic Southwest) [Flat 1:2]</v>
      </c>
      <c r="C99" t="s">
        <v>82</v>
      </c>
      <c r="D99" s="42">
        <f>+'Headline Price Calculations'!$R$37</f>
        <v>0.57033599999999984</v>
      </c>
      <c r="E99" s="42">
        <f>+'Headline Price Calculations'!$R$38</f>
        <v>7.9213333333333305</v>
      </c>
      <c r="F99" s="133" t="s">
        <v>172</v>
      </c>
      <c r="G99" s="42" t="s">
        <v>173</v>
      </c>
    </row>
    <row r="100" spans="2:7">
      <c r="B100" s="22" t="str">
        <f>+'Headline Price Calculations'!S22</f>
        <v>Bega (Vic Southwest) [MPS 9/3]</v>
      </c>
      <c r="C100" t="s">
        <v>82</v>
      </c>
      <c r="D100" s="42">
        <f>+'Headline Price Calculations'!$S$37</f>
        <v>0.55400800000000006</v>
      </c>
      <c r="E100" s="42">
        <f>+'Headline Price Calculations'!$S$38</f>
        <v>7.6945555555555556</v>
      </c>
      <c r="F100" s="133" t="s">
        <v>172</v>
      </c>
      <c r="G100" s="42" t="s">
        <v>168</v>
      </c>
    </row>
    <row r="101" spans="2:7">
      <c r="B101" s="22" t="str">
        <f>+'Headline Price Calculations'!T22</f>
        <v>Bulla (Vic Southwest) [1:1]</v>
      </c>
      <c r="C101" t="s">
        <v>82</v>
      </c>
      <c r="D101" s="42">
        <f>+'Headline Price Calculations'!$T$37</f>
        <v>0.62280000000000013</v>
      </c>
      <c r="E101" s="42">
        <f>+'Headline Price Calculations'!$T$38</f>
        <v>8.65</v>
      </c>
      <c r="F101" s="120" t="s">
        <v>174</v>
      </c>
      <c r="G101" s="42" t="s">
        <v>173</v>
      </c>
    </row>
    <row r="102" spans="2:7">
      <c r="B102" s="22" t="str">
        <f>+'Headline Price Calculations'!U22</f>
        <v>Bulla (Vic Southwest) [1:2]</v>
      </c>
      <c r="C102" t="s">
        <v>82</v>
      </c>
      <c r="D102" s="42">
        <f>+'Headline Price Calculations'!$U$37</f>
        <v>0.62278400000000012</v>
      </c>
      <c r="E102" s="42">
        <f>+'Headline Price Calculations'!$V$38</f>
        <v>9.9367361111111094</v>
      </c>
      <c r="F102" s="120" t="s">
        <v>174</v>
      </c>
      <c r="G102" s="42" t="s">
        <v>173</v>
      </c>
    </row>
    <row r="103" spans="2:7">
      <c r="B103" s="22" t="str">
        <f>+'Headline Price Calculations'!V22</f>
        <v>Coles (Vic Southwest)</v>
      </c>
      <c r="C103" t="s">
        <v>82</v>
      </c>
      <c r="D103" s="42">
        <f>+'Headline Price Calculations'!$V$37</f>
        <v>0.715445</v>
      </c>
      <c r="E103" s="42">
        <f>+'Headline Price Calculations'!$V$38</f>
        <v>9.9367361111111094</v>
      </c>
      <c r="F103" s="133" t="s">
        <v>175</v>
      </c>
      <c r="G103" s="42" t="s">
        <v>168</v>
      </c>
    </row>
    <row r="104" spans="2:7">
      <c r="B104" s="22" t="str">
        <f>+'Headline Price Calculations'!W22</f>
        <v>DFMC (Vic Southwest) [9/3]</v>
      </c>
      <c r="C104" t="s">
        <v>82</v>
      </c>
      <c r="D104" s="42">
        <f>+'Headline Price Calculations'!$W$37</f>
        <v>0.5427519999999999</v>
      </c>
      <c r="E104" s="42">
        <f>+'Headline Price Calculations'!$W$38</f>
        <v>7.5382222222222195</v>
      </c>
      <c r="F104" s="120" t="s">
        <v>176</v>
      </c>
      <c r="G104" s="42" t="s">
        <v>168</v>
      </c>
    </row>
    <row r="105" spans="2:7">
      <c r="B105" s="22" t="str">
        <f>+'Headline Price Calculations'!X22</f>
        <v>DFMC (Vic Southwest) [Flat]</v>
      </c>
      <c r="C105" t="s">
        <v>82</v>
      </c>
      <c r="D105" s="42">
        <f>+'Headline Price Calculations'!$X$37</f>
        <v>0.55190400000000017</v>
      </c>
      <c r="E105" s="42">
        <f>+'Headline Price Calculations'!$X$38</f>
        <v>7.6653333333333338</v>
      </c>
      <c r="F105" s="120" t="s">
        <v>176</v>
      </c>
      <c r="G105" s="42" t="s">
        <v>173</v>
      </c>
    </row>
    <row r="106" spans="2:7">
      <c r="B106" s="22" t="str">
        <f>+'Headline Price Calculations'!Y22</f>
        <v>DFMC (Vic Southwest) [Traditional]</v>
      </c>
      <c r="C106" t="s">
        <v>82</v>
      </c>
      <c r="D106" s="42">
        <f>+'Headline Price Calculations'!$Y$37</f>
        <v>0.54764266666666672</v>
      </c>
      <c r="E106" s="42">
        <f>+'Headline Price Calculations'!$Y$38</f>
        <v>7.6061481481481481</v>
      </c>
      <c r="F106" s="120" t="s">
        <v>176</v>
      </c>
      <c r="G106" s="42" t="s">
        <v>168</v>
      </c>
    </row>
    <row r="107" spans="2:7">
      <c r="B107" s="22" t="str">
        <f>+'Headline Price Calculations'!AC22</f>
        <v>Fonterra (Southeast SA &amp; Vic Southwest) [7/5]</v>
      </c>
      <c r="C107" t="s">
        <v>82</v>
      </c>
      <c r="D107" s="42">
        <f>+'Headline Price Calculations'!$AC$37</f>
        <v>0.67398933333333322</v>
      </c>
      <c r="E107" s="42">
        <f>+'Headline Price Calculations'!$AC$38</f>
        <v>9.3609629629629598</v>
      </c>
      <c r="F107" s="120" t="s">
        <v>177</v>
      </c>
      <c r="G107" s="42" t="s">
        <v>168</v>
      </c>
    </row>
    <row r="108" spans="2:7">
      <c r="B108" s="22" t="str">
        <f>+'Headline Price Calculations'!AB22</f>
        <v>Fonterra (Southeast SA &amp; Vic Southwest) [8/4]</v>
      </c>
      <c r="C108" t="s">
        <v>82</v>
      </c>
      <c r="D108" s="42">
        <f>+'Headline Price Calculations'!$AD$37</f>
        <v>0.57616000000000001</v>
      </c>
      <c r="E108" s="42">
        <f>+'Headline Price Calculations'!$AD$38</f>
        <v>8.0022222222222208</v>
      </c>
      <c r="F108" s="120" t="s">
        <v>177</v>
      </c>
      <c r="G108" s="42" t="s">
        <v>168</v>
      </c>
    </row>
    <row r="109" spans="2:7">
      <c r="B109" s="22" t="str">
        <f>+'Headline Price Calculations'!AE22</f>
        <v>Frestine (Vic Southwest) [1:1]</v>
      </c>
      <c r="C109" t="s">
        <v>82</v>
      </c>
      <c r="D109" s="42">
        <f>+'Headline Price Calculations'!$AE$37</f>
        <v>0.57600000000000007</v>
      </c>
      <c r="E109" s="42">
        <f>+'Headline Price Calculations'!$AE$38</f>
        <v>8</v>
      </c>
      <c r="F109" s="120" t="s">
        <v>188</v>
      </c>
      <c r="G109" s="42" t="s">
        <v>173</v>
      </c>
    </row>
    <row r="110" spans="2:7">
      <c r="B110" s="22" t="str">
        <f>+'Headline Price Calculations'!AD22</f>
        <v>Frestine (Vic Southwest) [1:2]</v>
      </c>
      <c r="C110" t="s">
        <v>82</v>
      </c>
      <c r="D110" s="42">
        <f>+'Headline Price Calculations'!$AF$37</f>
        <v>0.56088000000000005</v>
      </c>
      <c r="E110" s="42">
        <f>+'Headline Price Calculations'!$AF$38</f>
        <v>7.7899999999999983</v>
      </c>
      <c r="F110" s="120" t="s">
        <v>188</v>
      </c>
      <c r="G110" s="42" t="s">
        <v>173</v>
      </c>
    </row>
    <row r="111" spans="2:7">
      <c r="B111" s="22" t="str">
        <f>+'Headline Price Calculations'!AF22</f>
        <v>KY Valley (Vic Southwest)</v>
      </c>
      <c r="C111" t="s">
        <v>82</v>
      </c>
      <c r="D111" s="42">
        <f>+'Headline Price Calculations'!$AG$37</f>
        <v>0.64026666666666665</v>
      </c>
      <c r="E111" s="42">
        <f>+'Headline Price Calculations'!$AG$38</f>
        <v>8.8925925925925906</v>
      </c>
      <c r="F111" s="120" t="s">
        <v>178</v>
      </c>
      <c r="G111" s="42" t="s">
        <v>173</v>
      </c>
    </row>
    <row r="112" spans="2:7">
      <c r="B112" s="22" t="str">
        <f>+'Headline Price Calculations'!AG22</f>
        <v>Lactalis (Gippsland &amp; Vic Southwest)</v>
      </c>
      <c r="C112" t="s">
        <v>82</v>
      </c>
      <c r="D112" s="42">
        <f>+'Headline Price Calculations'!$Z$37</f>
        <v>0.59392666666666671</v>
      </c>
      <c r="E112" s="42">
        <f>+'Headline Price Calculations'!$Z$38</f>
        <v>8.2489814814814792</v>
      </c>
      <c r="F112" s="120" t="s">
        <v>167</v>
      </c>
      <c r="G112" s="42" t="s">
        <v>168</v>
      </c>
    </row>
    <row r="113" spans="2:7">
      <c r="B113" s="22" t="str">
        <f>+'Headline Price Calculations'!Z22</f>
        <v>Saputo (Vic Southwest) [7/5]</v>
      </c>
      <c r="C113" t="s">
        <v>82</v>
      </c>
      <c r="D113" s="42">
        <f>+'Headline Price Calculations'!$AB$37</f>
        <v>0.67105599999999987</v>
      </c>
      <c r="E113" s="42">
        <f>+'Headline Price Calculations'!$AB$38</f>
        <v>9.3202222222222186</v>
      </c>
      <c r="F113" s="120" t="s">
        <v>170</v>
      </c>
      <c r="G113" s="42" t="s">
        <v>168</v>
      </c>
    </row>
    <row r="114" spans="2:7">
      <c r="B114" s="22" t="str">
        <f>+'Headline Price Calculations'!AA22</f>
        <v>Saputo (Vic Southwest) [Flat]</v>
      </c>
      <c r="C114" t="s">
        <v>82</v>
      </c>
      <c r="D114" s="42">
        <f>+'Headline Price Calculations'!$AA$37</f>
        <v>0.57823999999999998</v>
      </c>
      <c r="E114" s="42">
        <f>+'Headline Price Calculations'!$AA$38</f>
        <v>8.0311111111111106</v>
      </c>
      <c r="F114" s="133" t="s">
        <v>170</v>
      </c>
      <c r="G114" s="42" t="s">
        <v>173</v>
      </c>
    </row>
    <row r="115" spans="2:7">
      <c r="B115" s="22" t="str">
        <f>+'Headline Price Calculations'!AH22</f>
        <v>UDC (Vic Southwest) [7/5]</v>
      </c>
      <c r="C115" t="s">
        <v>82</v>
      </c>
      <c r="D115" s="42">
        <f>+'Headline Price Calculations'!$AH$37</f>
        <v>0.56810400000000016</v>
      </c>
      <c r="E115" s="42">
        <f>+'Headline Price Calculations'!$AH$38</f>
        <v>7.8903333333333343</v>
      </c>
      <c r="F115" s="120" t="s">
        <v>184</v>
      </c>
      <c r="G115" s="42" t="s">
        <v>168</v>
      </c>
    </row>
    <row r="116" spans="2:7">
      <c r="B116" s="22" t="str">
        <f>+'Headline Price Calculations'!AI22</f>
        <v>UDC (Vic Southwest) [9/3]</v>
      </c>
      <c r="C116" t="s">
        <v>82</v>
      </c>
      <c r="D116" s="42">
        <f>+'Headline Price Calculations'!$AI$37</f>
        <v>0.57901200000000008</v>
      </c>
      <c r="E116" s="42">
        <f>+'Headline Price Calculations'!$AI$38</f>
        <v>8.0418333333333329</v>
      </c>
      <c r="F116" s="133" t="s">
        <v>184</v>
      </c>
      <c r="G116" s="42" t="s">
        <v>168</v>
      </c>
    </row>
    <row r="117" spans="2:7">
      <c r="B117" s="22" t="str">
        <f>+'Headline Price Calculations'!AB3</f>
        <v>Brownes</v>
      </c>
      <c r="C117" t="s">
        <v>56</v>
      </c>
      <c r="D117" s="42">
        <f>+'Headline Price Calculations'!$AB$18</f>
        <v>0.66916666666666669</v>
      </c>
      <c r="E117" s="42">
        <f>+'Headline Price Calculations'!$AB$19</f>
        <v>9.2939814814814792</v>
      </c>
      <c r="F117" s="120" t="s">
        <v>190</v>
      </c>
      <c r="G117" s="42" t="s">
        <v>168</v>
      </c>
    </row>
    <row r="118" spans="2:7">
      <c r="B118" s="22" t="str">
        <f>+'Headline Price Calculations'!AD3</f>
        <v>Coles (WA)</v>
      </c>
      <c r="C118" t="s">
        <v>56</v>
      </c>
      <c r="D118" s="42">
        <f>+'Headline Price Calculations'!$AD$18</f>
        <v>0.71048500000000003</v>
      </c>
      <c r="E118" s="42">
        <f>+'Headline Price Calculations'!$AD$19</f>
        <v>9.8678472222222204</v>
      </c>
      <c r="F118" s="133" t="s">
        <v>175</v>
      </c>
      <c r="G118" s="42" t="s">
        <v>168</v>
      </c>
    </row>
    <row r="119" spans="2:7">
      <c r="B119" s="22" t="str">
        <f>+'Headline Price Calculations'!AC3</f>
        <v>Lactalis (WA)</v>
      </c>
      <c r="C119" t="s">
        <v>56</v>
      </c>
      <c r="D119" s="42">
        <f>+'Headline Price Calculations'!$AC$18</f>
        <v>0.61816666666666664</v>
      </c>
      <c r="E119" s="42">
        <f>+'Headline Price Calculations'!$AC$19</f>
        <v>8.585648148148147</v>
      </c>
      <c r="F119" s="120" t="s">
        <v>167</v>
      </c>
      <c r="G119" s="42" t="s">
        <v>168</v>
      </c>
    </row>
    <row r="120" spans="2:7">
      <c r="B120" s="22"/>
      <c r="D120" s="42"/>
      <c r="E120" s="42"/>
      <c r="F120" s="121"/>
      <c r="G120" s="42" t="s">
        <v>4</v>
      </c>
    </row>
    <row r="121" spans="2:7">
      <c r="B121" s="22"/>
      <c r="D121" s="42"/>
      <c r="E121" s="42"/>
      <c r="F121" s="121"/>
      <c r="G121" s="42"/>
    </row>
  </sheetData>
  <sheetProtection algorithmName="SHA-512" hashValue="6CRLr1ZuW4iPKtrzzMGvr2ZbHGVUUoCH1MutqRlh9nq42CAfbJkAspWaQNGLjHB4Qr9MesjWlp7IaYx4SH46Vg==" saltValue="Yx6XMs+g2+B+ZRZ+gvdIFg==" spinCount="100000" sheet="1" objects="1" scenarios="1"/>
  <dataValidations disablePrompts="1" count="1">
    <dataValidation type="list" allowBlank="1" showInputMessage="1" showErrorMessage="1" sqref="H2" xr:uid="{8EFCBDB5-0074-47F1-811A-FF17496BFF2A}">
      <formula1>Region</formula1>
    </dataValidation>
  </dataValidations>
  <hyperlinks>
    <hyperlink ref="F38" r:id="rId1" xr:uid="{6704EAA5-C90C-4268-8EC0-BB8677A8D46F}"/>
    <hyperlink ref="F35" r:id="rId2" xr:uid="{F1A01C7B-C611-43AB-814F-67BDDD183DE1}"/>
    <hyperlink ref="F118" r:id="rId3" xr:uid="{C689647B-9F2A-462F-95B0-9FDD7E5D2E6B}"/>
    <hyperlink ref="F103" r:id="rId4" xr:uid="{D984C370-8F21-4BF6-A8EE-3C5BA2256FCE}"/>
    <hyperlink ref="F45" r:id="rId5" xr:uid="{C3393146-659F-452D-95B6-B26D6C246422}"/>
    <hyperlink ref="F82" r:id="rId6" xr:uid="{3731B16F-4689-44E1-B76E-B30CD01A5C0F}"/>
    <hyperlink ref="F13" r:id="rId7" xr:uid="{860D4751-66AD-4B6E-B29A-E65FA1FF49E0}"/>
    <hyperlink ref="F69" r:id="rId8" xr:uid="{2275DF33-A188-46A8-BED9-EE9E95C858B1}"/>
    <hyperlink ref="F29" r:id="rId9" xr:uid="{5CB492F5-4647-40D6-B1D2-291D992B99BA}"/>
    <hyperlink ref="F40" r:id="rId10" location="SupplierHandbook" xr:uid="{0C70DD79-E205-4677-96ED-8628D76CA797}"/>
    <hyperlink ref="F49" r:id="rId11" location="SupplierHandbook" xr:uid="{5257BF3F-4068-4177-884A-A5A4753E9470}"/>
    <hyperlink ref="F59" r:id="rId12" location="SupplierHandbook" xr:uid="{EDA93672-5975-4BF7-9EB6-2BFD1F1D142B}"/>
    <hyperlink ref="F95" r:id="rId13" location="SupplierHandbook" xr:uid="{1EF475FA-FFA9-4858-9DE2-0C3C269F6546}"/>
    <hyperlink ref="F6" r:id="rId14" location="SupplierHandbook" xr:uid="{62255D51-2F72-4383-B49A-121ACBAAB692}"/>
    <hyperlink ref="F24" r:id="rId15" location="SupplierHandbook" xr:uid="{54FBB782-C33C-415E-B712-FBC4B7363573}"/>
    <hyperlink ref="F73" r:id="rId16" location="SupplierHandbook" xr:uid="{F0B71120-738A-4B0E-9EDE-E557FF3D50ED}"/>
    <hyperlink ref="F27" r:id="rId17" xr:uid="{571D2F0A-4666-4C47-BC02-AB401204541B}"/>
    <hyperlink ref="F65" r:id="rId18" xr:uid="{FDE66487-51D7-4A0F-81C5-8E749CB83D87}"/>
    <hyperlink ref="F10" r:id="rId19" xr:uid="{C24DA0D1-C377-4675-8928-2739A8FF8AA6}"/>
    <hyperlink ref="F79" r:id="rId20" xr:uid="{9B852D63-9A58-40E6-AFC6-73B7C5B9F508}"/>
    <hyperlink ref="F98" r:id="rId21" xr:uid="{42DDFA4A-0869-469A-A6D5-1DE906AAAD63}"/>
    <hyperlink ref="F53" r:id="rId22" xr:uid="{9BF97B0C-320D-4463-B10F-4ADC72AC3136}"/>
    <hyperlink ref="F34" r:id="rId23" xr:uid="{72AA460A-6640-41C2-8876-AB9878CEE4B0}"/>
    <hyperlink ref="F31" r:id="rId24" location="SupplierHandbook" xr:uid="{D743A8B0-0782-4725-9A20-BE84A263210C}"/>
    <hyperlink ref="F30" r:id="rId25" xr:uid="{9EAA05A3-935D-4B33-A6D6-2011F5DC2A45}"/>
    <hyperlink ref="F72" r:id="rId26" xr:uid="{19F67856-8006-46C9-BEFD-2DB1836906FF}"/>
    <hyperlink ref="F20" r:id="rId27" xr:uid="{DB9E01F2-ADB3-4F66-8DD9-55729761D490}"/>
    <hyperlink ref="F21" r:id="rId28" xr:uid="{07C3EDDF-4B2A-44D4-8A0C-18C0CEAD8451}"/>
    <hyperlink ref="F3" r:id="rId29" xr:uid="{7E9723E8-F723-4FA0-8CEC-AF91CEA91BDC}"/>
    <hyperlink ref="F4" r:id="rId30" xr:uid="{53537628-DC6A-4F96-B770-D7D14FE62DFF}"/>
    <hyperlink ref="F32" r:id="rId31" xr:uid="{73F8437C-9BC0-44E1-BFFC-FFC8D476D315}"/>
    <hyperlink ref="F112" r:id="rId32" xr:uid="{A257F7FA-2C60-4FBF-973D-73C7FE0D2838}"/>
    <hyperlink ref="F57" r:id="rId33" xr:uid="{143905E0-CE1F-4578-B06E-3B23DC2AE457}"/>
    <hyperlink ref="F119" r:id="rId34" xr:uid="{CEE31E73-13F4-43C3-A1AD-81A8D66B2BEB}"/>
    <hyperlink ref="F48" r:id="rId35" xr:uid="{472CB98F-E94A-46F3-BCE2-437AE9F63867}"/>
    <hyperlink ref="F39" r:id="rId36" xr:uid="{C565C2C8-D7B4-47F8-9CD8-78C8F46DA274}"/>
    <hyperlink ref="F37" r:id="rId37" xr:uid="{033CDD3C-C058-455D-AD93-2A9EFB24F484}"/>
    <hyperlink ref="F36" r:id="rId38" location="south-australia" xr:uid="{4C6C3825-2D0D-4EBA-9A9E-CA086B804666}"/>
    <hyperlink ref="F85" r:id="rId39" location="victoria" xr:uid="{11164795-2579-433A-85F5-F4A078E08D66}"/>
    <hyperlink ref="F16" r:id="rId40" location="victoria" xr:uid="{F80501BB-709B-4F56-84B2-EA9D47FC058C}"/>
    <hyperlink ref="F71" r:id="rId41" xr:uid="{05B12FDA-D491-436A-8AF7-0E9B021A77CE}"/>
    <hyperlink ref="F89" r:id="rId42" xr:uid="{0B36DC34-B60B-4924-A261-E014C3F0F457}"/>
    <hyperlink ref="F110" r:id="rId43" xr:uid="{BB7CAC8E-9365-46DF-BC26-5330DF035628}"/>
    <hyperlink ref="F51" r:id="rId44" xr:uid="{D1317D92-E45C-4658-A7FD-BD319BE6124C}"/>
    <hyperlink ref="F117" r:id="rId45" xr:uid="{17A97881-99B7-4311-811E-7639D61D9111}"/>
    <hyperlink ref="F54" r:id="rId46" xr:uid="{D8C8C1CA-454B-47A4-B587-D2A578EE02F9}"/>
    <hyperlink ref="F56" r:id="rId47" xr:uid="{9E1A617B-3EBC-4C46-8A77-34451806EE2F}"/>
    <hyperlink ref="F87" r:id="rId48" xr:uid="{664C62A6-F5F9-4172-8BE3-B7689F068FB0}"/>
    <hyperlink ref="F58" r:id="rId49" xr:uid="{F46050D6-F132-4691-B056-865AA3A1D7B2}"/>
    <hyperlink ref="F97" r:id="rId50" xr:uid="{145281E0-704F-4D45-B041-5C3EF00AD13C}"/>
    <hyperlink ref="F76" r:id="rId51" xr:uid="{5ED2FAD8-6466-4F54-AC62-2A8A8DD9220F}"/>
    <hyperlink ref="F62" r:id="rId52" xr:uid="{A5A89987-B0E6-43EF-AD12-D6D084212538}"/>
    <hyperlink ref="F68" r:id="rId53" xr:uid="{B267823F-2255-4FE6-907A-3FBE04A32A03}"/>
    <hyperlink ref="F66" r:id="rId54" xr:uid="{F34305EB-8D01-48DB-A7E7-F9EDD9385DA7}"/>
    <hyperlink ref="F80" r:id="rId55" xr:uid="{816CEAEB-406F-407B-A570-37845B3B4088}"/>
    <hyperlink ref="F101" r:id="rId56" xr:uid="{9505E719-4078-400E-97CE-3A2758349ADC}"/>
    <hyperlink ref="F111" r:id="rId57" xr:uid="{6B4D2293-E2EE-4D89-8153-93C67DAAFC18}"/>
    <hyperlink ref="F91" r:id="rId58" xr:uid="{F7E9CA6E-8B67-411D-A508-31D1C4B73C4E}"/>
    <hyperlink ref="F19" r:id="rId59" xr:uid="{E80F0CA5-88EA-4279-BFD2-57AEA95D9A07}"/>
    <hyperlink ref="F23" r:id="rId60" xr:uid="{4C3C0B26-75CB-47DE-9DB2-E81579D077E2}"/>
    <hyperlink ref="F94" r:id="rId61" xr:uid="{F5166907-B0E8-4232-973B-94B1B51F035D}"/>
    <hyperlink ref="F115" r:id="rId62" xr:uid="{72C5E65D-C4A4-4CEC-A45A-F2A820772580}"/>
    <hyperlink ref="F33" r:id="rId63" xr:uid="{E5696470-9151-4941-9F3B-2AB9F57B6435}"/>
    <hyperlink ref="F5" r:id="rId64" xr:uid="{2E526126-4A56-490A-A325-1C5AEB07E12E}"/>
    <hyperlink ref="F75" r:id="rId65" xr:uid="{31E958FF-5F36-4F6B-98F3-2AE10714944A}"/>
    <hyperlink ref="F7" r:id="rId66" xr:uid="{60D66F4E-B5FC-4C36-A653-E389999E4070}"/>
    <hyperlink ref="F61" r:id="rId67" xr:uid="{3E386948-C5BB-47B5-8F7A-6FECB4735594}"/>
    <hyperlink ref="F22" r:id="rId68" xr:uid="{3D785B18-8CAE-4B91-942C-1E7C3AB1485E}"/>
    <hyperlink ref="F93" r:id="rId69" xr:uid="{2C82A156-BA4C-40B6-9DB5-831F25862D79}"/>
    <hyperlink ref="F90" r:id="rId70" xr:uid="{70A8015F-1C47-4CF6-9DE5-8EB74B8F9636}"/>
    <hyperlink ref="F92" r:id="rId71" xr:uid="{BCBD4B47-40E9-400B-B4EE-4E0E2F55E454}"/>
    <hyperlink ref="F96" r:id="rId72" xr:uid="{8CBC7F96-0A96-4196-AFA6-5A0CE26EAA5E}"/>
    <hyperlink ref="F113" r:id="rId73" location="SupplierHandbook" xr:uid="{C21E0482-D12D-4020-B0A5-623E970D7C58}"/>
    <hyperlink ref="F108" r:id="rId74" xr:uid="{D1F1B0ED-F6BA-4122-A56D-553AE9B2EC70}"/>
    <hyperlink ref="B96" r:id="rId75" display="ACM" xr:uid="{A72AF23A-33F2-413D-83F6-98A340C6E1DC}"/>
    <hyperlink ref="B49" r:id="rId76" location="SupplierHandbook" xr:uid="{4F0143D4-FE14-4F38-B8D0-930B0626D684}"/>
    <hyperlink ref="B48" r:id="rId77" xr:uid="{ADE4ABD2-BD2E-49A6-8426-78F211D49A3C}"/>
    <hyperlink ref="B45" r:id="rId78" xr:uid="{B9409A3D-2319-4AEA-AD6B-DBB93E7291B0}"/>
    <hyperlink ref="B51" r:id="rId79" xr:uid="{41DA26B4-355F-4C69-9E05-6BFE4F98B9D5}"/>
    <hyperlink ref="B40" r:id="rId80" location="SupplierHandbook" xr:uid="{C6D3B133-E439-457F-B26C-DCA7FD0BD06E}"/>
    <hyperlink ref="B39" r:id="rId81" xr:uid="{F5D53AF1-48B5-4670-9729-F0C56C1E861A}"/>
    <hyperlink ref="B34" r:id="rId82" xr:uid="{BB4FE21C-28FD-4FEA-8CC5-9C9C27ECC40F}"/>
    <hyperlink ref="B37" r:id="rId83" xr:uid="{90000654-3BC2-4E14-9590-036DDE26C103}"/>
    <hyperlink ref="B36" r:id="rId84" location="south-australia" display="=+'Headline Price Calculations'!L3" xr:uid="{29463DA3-03EA-4853-B22A-574F03B8071C}"/>
    <hyperlink ref="B68" r:id="rId85" xr:uid="{8E73C98B-1024-4DC0-A3AC-86C2EDC78D09}"/>
    <hyperlink ref="B90" r:id="rId86" xr:uid="{33AD2544-DD93-4831-A644-DE8B19E7B2AD}"/>
    <hyperlink ref="B89" r:id="rId87" xr:uid="{3E549585-60E8-47E6-AA65-5F65B7EB311C}"/>
    <hyperlink ref="B22" r:id="rId88" xr:uid="{67622FDE-36FA-414F-86EE-F216D4153135}"/>
    <hyperlink ref="B93" r:id="rId89" xr:uid="{8F649F86-E449-4374-9F05-1B8294BE54E1}"/>
    <hyperlink ref="B23" r:id="rId90" xr:uid="{B01895B0-4B76-4D33-A1AC-43922C400B63}"/>
    <hyperlink ref="B94" r:id="rId91" xr:uid="{56CE1E23-F6B3-47CD-9608-89D4AB44F304}"/>
    <hyperlink ref="B5" r:id="rId92" xr:uid="{95E08604-359C-4CD1-982B-1D82CAC7E87D}"/>
    <hyperlink ref="B33" r:id="rId93" xr:uid="{E2EB7636-76D2-4C82-B539-061268E22197}"/>
    <hyperlink ref="B19" r:id="rId94" xr:uid="{822E296B-7798-4608-AE3B-3CE102AE5E76}"/>
    <hyperlink ref="B91" r:id="rId95" xr:uid="{C6FA7671-7FC8-4613-8156-B552206B3C5C}"/>
    <hyperlink ref="B110" r:id="rId96" display="=+'Headline Price Calculations'!T22" xr:uid="{A2BD32DD-9375-4037-93D2-281BEFB9E064}"/>
    <hyperlink ref="B71" r:id="rId97" xr:uid="{BD83FD44-E872-406B-A05C-96CD272D9AC2}"/>
    <hyperlink ref="B108" r:id="rId98" display="=+'Headline Price Calculations'!S22" xr:uid="{8F5DE781-6B97-4443-B172-D64DA4FB9506}"/>
    <hyperlink ref="B66" r:id="rId99" xr:uid="{967ACFF1-848E-4B13-BB75-7AC85A560E49}"/>
    <hyperlink ref="B80" r:id="rId100" xr:uid="{E37064AD-7A0E-4075-990C-52AE33A3EA40}"/>
    <hyperlink ref="B101" r:id="rId101" xr:uid="{3BEA6D04-E95B-4F3C-82E0-34E3E21CA36C}"/>
    <hyperlink ref="B62" r:id="rId102" xr:uid="{A91FAE91-1692-4079-A373-50BBA2B81E98}"/>
    <hyperlink ref="B76" r:id="rId103" xr:uid="{4EE28463-7423-4226-9517-06EDA098BED2}"/>
    <hyperlink ref="B97" r:id="rId104" xr:uid="{C6EC8253-540F-47CE-9918-C09506E18497}"/>
    <hyperlink ref="B58" r:id="rId105" xr:uid="{2FCC7BA5-305B-42AF-BAC3-D9B9E2271FE0}"/>
    <hyperlink ref="B117" r:id="rId106" xr:uid="{2CE53AF3-DA79-4A18-9429-108EEEC9F266}"/>
    <hyperlink ref="B115" r:id="rId107" xr:uid="{61E28AD1-A74B-47F2-9E07-B7732F8E5111}"/>
    <hyperlink ref="B7" r:id="rId108" xr:uid="{4376EE1E-AAA3-4FA3-B96B-A932DC517D21}"/>
    <hyperlink ref="B75" r:id="rId109" xr:uid="{A89AE4E2-DA82-4C7D-B3E0-AE62A1E2DEE0}"/>
    <hyperlink ref="B61" r:id="rId110" xr:uid="{70618A7F-2A14-413E-99BD-0A4F0A7EE0DF}"/>
    <hyperlink ref="B16" r:id="rId111" location="victoria" xr:uid="{0B09040C-B050-465B-B905-F8AFE7FEAACD}"/>
    <hyperlink ref="B85" r:id="rId112" location="victoria" xr:uid="{5AAD3C1F-D338-4994-A167-561B2D3A7512}"/>
    <hyperlink ref="B72" r:id="rId113" xr:uid="{BDE29297-C52B-4FED-9541-71B4F7A71156}"/>
    <hyperlink ref="B87" r:id="rId114" xr:uid="{B6C7139A-8D0D-4113-A494-EF0E66FDF137}"/>
    <hyperlink ref="B113" r:id="rId115" location="SupplierHandbook" display="=+'Headline Price Calculations'!R22" xr:uid="{30CF6809-2AFF-4E77-BC95-BC5AA6CB508C}"/>
    <hyperlink ref="B56" r:id="rId116" xr:uid="{02E3BA03-365D-4B68-B52D-03C6E40D728E}"/>
    <hyperlink ref="B27" r:id="rId117" xr:uid="{B1A5877C-7221-4963-8922-E42F01F1E8F0}"/>
    <hyperlink ref="B65" r:id="rId118" xr:uid="{67BB1FF7-06C6-416C-BECB-1D89CBDB7590}"/>
    <hyperlink ref="B10" r:id="rId119" xr:uid="{8FDFD9B7-CE47-444B-A4C9-B4FE260922DC}"/>
    <hyperlink ref="B79" r:id="rId120" xr:uid="{24E4F1A9-39EC-4726-9795-53585B61E709}"/>
    <hyperlink ref="B98" r:id="rId121" xr:uid="{0877EB78-B6B7-4216-836E-C607EA5F874F}"/>
    <hyperlink ref="B53" r:id="rId122" xr:uid="{D29C348D-C630-493F-B607-C1A992481771}"/>
    <hyperlink ref="B30" r:id="rId123" xr:uid="{6A54AE1F-6F9F-4A58-9DE9-D7918275C576}"/>
    <hyperlink ref="B20" r:id="rId124" xr:uid="{0BA8788D-A45C-4AC9-8203-90E15E6E65D0}"/>
    <hyperlink ref="B21" r:id="rId125" xr:uid="{EE2FC514-7FE9-4F10-83F8-8D9D3B6AC798}"/>
    <hyperlink ref="B3" r:id="rId126" xr:uid="{BFE50ACE-723A-4773-A3B6-B37D010FFF05}"/>
    <hyperlink ref="B4" r:id="rId127" xr:uid="{0B7A4AD0-95D0-43C8-AF8C-75268D6E0512}"/>
    <hyperlink ref="B92" r:id="rId128" xr:uid="{29F11165-F324-46E5-9BAE-8AB381FDB7F7}"/>
    <hyperlink ref="B32" r:id="rId129" xr:uid="{29716A9A-9762-4F88-A615-92734F0540B6}"/>
    <hyperlink ref="B111" r:id="rId130" display="=+'Headline Price Calculations'!U22" xr:uid="{84B47F47-5C7C-4568-9A13-6C108DF6CDCF}"/>
    <hyperlink ref="B57" r:id="rId131" xr:uid="{5C7A712F-93AF-4E2A-AFE9-59D853E05465}"/>
    <hyperlink ref="B119" r:id="rId132" xr:uid="{3C4812E9-8F62-4C13-8263-2003F5F2C4AE}"/>
    <hyperlink ref="B6" r:id="rId133" location="SupplierHandbook" xr:uid="{C62E1303-5EA4-450D-8A48-A5B2629CBA0D}"/>
    <hyperlink ref="B24" r:id="rId134" location="SupplierHandbook" xr:uid="{4592AD2D-BABB-40EA-9124-C3C720F38271}"/>
    <hyperlink ref="B31" r:id="rId135" location="SupplierHandbook" xr:uid="{AEB7BD04-60F6-44FD-A4C4-468DEC447145}"/>
    <hyperlink ref="B73" r:id="rId136" location="SupplierHandbook" xr:uid="{D265BE2D-104D-47CF-90FB-303C33DF7D67}"/>
    <hyperlink ref="B95" r:id="rId137" location="SupplierHandbook" xr:uid="{5F9BD790-CD07-4105-86C2-BCB07D77CCC6}"/>
    <hyperlink ref="B59" r:id="rId138" location="SupplierHandbook" xr:uid="{13B10500-B9A4-4223-8267-4FAFF4759D7B}"/>
    <hyperlink ref="B112" r:id="rId139" display="=+'Headline Price Calculations'!V22" xr:uid="{BD3565FD-0CF5-447D-8600-718A31804381}"/>
    <hyperlink ref="B54" r:id="rId140" xr:uid="{A4D818CB-DC26-44C7-B739-A9FB37CF7325}"/>
    <hyperlink ref="B29" r:id="rId141" xr:uid="{4F75A958-9BDD-4A95-B227-D75048E99311}"/>
    <hyperlink ref="B69" r:id="rId142" xr:uid="{EBA07432-43F8-4B8E-9DCA-A00AF99035FF}"/>
    <hyperlink ref="B13" r:id="rId143" xr:uid="{97579CC4-BFDF-4074-839E-BCE534B2D4D1}"/>
    <hyperlink ref="B82" r:id="rId144" xr:uid="{9A390260-BAE4-4441-9ED4-77DBF3CB6633}"/>
    <hyperlink ref="B103" r:id="rId145" xr:uid="{0D785B90-FB80-4DFD-9DA9-5F09D5FCF915}"/>
    <hyperlink ref="B118" r:id="rId146" xr:uid="{FDAC276A-C401-4315-BFC0-A4FFFFCA2C6F}"/>
    <hyperlink ref="B35" r:id="rId147" xr:uid="{D198C369-C1E7-4CEF-8EF1-48F667A3486B}"/>
    <hyperlink ref="B38" r:id="rId148" xr:uid="{FE2BE253-A2F3-44DA-978E-4D52039C8E20}"/>
    <hyperlink ref="F64" r:id="rId149" xr:uid="{577E67AF-01FA-49BE-B8F3-89E8CD47937C}"/>
    <hyperlink ref="F63" r:id="rId150" xr:uid="{69BEBD8E-0B42-4511-B97F-7DDA49086376}"/>
    <hyperlink ref="F8" r:id="rId151" xr:uid="{DF34F11E-B00A-4334-83F7-5CBE443EF32D}"/>
    <hyperlink ref="F9" r:id="rId152" xr:uid="{64466066-5169-4D53-A944-8F52347CB1A0}"/>
    <hyperlink ref="F43" r:id="rId153" xr:uid="{762BCAC4-ABBB-47EC-87F0-6938638D067C}"/>
    <hyperlink ref="F28" r:id="rId154" xr:uid="{4A850DFB-5959-4F4F-A980-73DD580E2D26}"/>
    <hyperlink ref="F77" r:id="rId155" xr:uid="{4B24F518-4994-43ED-B3F8-EFB59586B4DF}"/>
    <hyperlink ref="F78" r:id="rId156" xr:uid="{C6EDC389-24A9-4679-84AC-710227E05F0E}"/>
    <hyperlink ref="F99" r:id="rId157" xr:uid="{4A211E1A-E179-439E-9F58-29A54701DD19}"/>
    <hyperlink ref="F100" r:id="rId158" xr:uid="{F584BAA5-7CA5-45F2-83F2-615ECDA26D69}"/>
    <hyperlink ref="F42" r:id="rId159" xr:uid="{785A0B8F-4C0B-4A6E-99F0-D978F76DE4EC}"/>
    <hyperlink ref="F67" r:id="rId160" xr:uid="{16A05CB6-A4F9-4149-9DB6-EF8D96555E4A}"/>
    <hyperlink ref="F11" r:id="rId161" xr:uid="{18B924CC-B276-4B8A-B58D-2A904F3139A5}"/>
    <hyperlink ref="F81" r:id="rId162" xr:uid="{F90E323B-CDFC-41CF-88A4-0FC125906478}"/>
    <hyperlink ref="F12" r:id="rId163" xr:uid="{962804E5-A17F-4C16-B092-64D74EBE7AE3}"/>
    <hyperlink ref="F102" r:id="rId164" xr:uid="{228AC01D-DECB-408A-9111-4E7168321B82}"/>
    <hyperlink ref="F14" r:id="rId165" location="victoria" xr:uid="{0A5EFF6A-3FF3-4796-9641-A3D2F54440EB}"/>
    <hyperlink ref="F15" r:id="rId166" location="victoria" xr:uid="{E626E290-CDD5-4E84-B45E-B2DA09588B81}"/>
    <hyperlink ref="F83" r:id="rId167" location="victoria" xr:uid="{C85983E5-268F-4DCA-A989-6339290A3F2D}"/>
    <hyperlink ref="F84" r:id="rId168" location="victoria" xr:uid="{D77F5D8D-349E-4C1F-9B29-E025FE002949}"/>
    <hyperlink ref="F104" r:id="rId169" location="victoria" xr:uid="{0768A9DC-6E59-411D-92F1-6046892B9621}"/>
    <hyperlink ref="F105" r:id="rId170" location="victoria" xr:uid="{8BD083A6-D71E-419C-A539-D113B9704A81}"/>
    <hyperlink ref="F106" r:id="rId171" location="victoria" xr:uid="{FFB260A3-7323-4E64-86EA-C1FE3365CEFA}"/>
    <hyperlink ref="F46" r:id="rId172" xr:uid="{4B517A61-F811-4237-A85B-8FEECFCA2CCC}"/>
    <hyperlink ref="F107" r:id="rId173" xr:uid="{10A632DA-7AED-48BA-B248-D5BE24B7B49E}"/>
    <hyperlink ref="F47" r:id="rId174" xr:uid="{82DC41DF-2798-46D8-93D3-FCD63EE3CC16}"/>
    <hyperlink ref="F55" r:id="rId175" xr:uid="{E46053FA-09F3-441E-A3BE-311103D7A04A}"/>
    <hyperlink ref="F86" r:id="rId176" xr:uid="{3565E2FE-FC8E-40B3-A7CE-97838F4191FC}"/>
    <hyperlink ref="F17" r:id="rId177" xr:uid="{3D8E7F60-CEBA-4730-BF26-BDD781CA074A}"/>
    <hyperlink ref="F18" r:id="rId178" xr:uid="{4C2BB4D0-D678-4C73-9A52-66ABA7E4F088}"/>
    <hyperlink ref="F70" r:id="rId179" xr:uid="{CBF630F0-4B59-40F5-8676-F15479DA06F5}"/>
    <hyperlink ref="F88" r:id="rId180" xr:uid="{73852880-C407-496D-8231-AF6B5B1BBC42}"/>
    <hyperlink ref="F109" r:id="rId181" xr:uid="{F2C7DC7B-CF48-4D61-8D29-BBB76F38CFBA}"/>
    <hyperlink ref="F74" r:id="rId182" location="SupplierHandbook" xr:uid="{C1272E59-4C46-4A04-B36E-1178B0EB5887}"/>
    <hyperlink ref="F25" r:id="rId183" location="SupplierHandbook" xr:uid="{22B7EBDA-B872-4882-95B0-458E953907C2}"/>
    <hyperlink ref="F41" r:id="rId184" location="SupplierHandbook" xr:uid="{AAC0A856-133E-4219-8C93-BDAFE0AFDD32}"/>
    <hyperlink ref="F50" r:id="rId185" location="SupplierHandbook" xr:uid="{8A315996-A948-47FB-B5CF-7163E9F1EFC8}"/>
    <hyperlink ref="F60" r:id="rId186" location="SupplierHandbook" xr:uid="{3BB6CE5F-9081-4E7C-813D-61D8D3FD254A}"/>
    <hyperlink ref="F26" r:id="rId187" location="SupplierHandbook" xr:uid="{A159E6C3-6BF4-4E15-8AA7-4EB90E325306}"/>
    <hyperlink ref="F114" r:id="rId188" location="SupplierHandbook" xr:uid="{F08DB35F-F5F0-4154-9E8F-6F667A176237}"/>
    <hyperlink ref="F52" r:id="rId189" xr:uid="{64FD390C-8D1F-4864-BD7B-7947E89AE075}"/>
    <hyperlink ref="F116" r:id="rId190" xr:uid="{818CADAF-AA2D-4E42-8850-A1EB2634C329}"/>
    <hyperlink ref="B116" r:id="rId191" display="=+'Headline Price Calculations'!AI22" xr:uid="{7FDEC351-3EB8-4FAE-8B64-67666DE0FD6D}"/>
    <hyperlink ref="B52" r:id="rId192" display="=+'Headline Price Calculations'!X3" xr:uid="{CCF0DD46-EE90-4673-ADDB-044CF8246974}"/>
    <hyperlink ref="B114" r:id="rId193" location="SupplierHandbook" display="=+'Headline Price Calculations'!AA22" xr:uid="{6707C773-6B42-473B-9F4A-FEB504777EAC}"/>
    <hyperlink ref="B26" r:id="rId194" location="SupplierHandbook" display="=+'Headline Price Calculations'!Z41" xr:uid="{C94FCF84-C2D9-4766-BB1C-6737B1907B03}"/>
    <hyperlink ref="B60" r:id="rId195" location="SupplierHandbook" display="=+'Headline Price Calculations'!L22" xr:uid="{008DEB77-C9C4-4224-B37F-DA773A1BA0C0}"/>
    <hyperlink ref="B50" r:id="rId196" location="SupplierHandbook" display="=+'Headline Price Calculations'!W3" xr:uid="{58100DDA-101B-49FB-93DC-B5C732B42ABD}"/>
    <hyperlink ref="B41" r:id="rId197" location="SupplierHandbook" display="=+'Headline Price Calculations'!H3" xr:uid="{29279CB6-CBC2-45E6-B7A3-CC9FC0008539}"/>
    <hyperlink ref="B25" r:id="rId198" location="SupplierHandbook" display="=+'Headline Price Calculations'!AC60" xr:uid="{737A2185-E423-45C7-B9E0-335F95ADF7DE}"/>
    <hyperlink ref="B74" r:id="rId199" location="SupplierHandbook" display="=+'Headline Price Calculations'!Q79" xr:uid="{2321A4C4-78EE-45F5-B299-1EF2F0312961}"/>
    <hyperlink ref="B109" r:id="rId200" display="=+'Headline Price Calculations'!AE22" xr:uid="{949DFA72-9138-4F18-8522-EE7218F8F512}"/>
    <hyperlink ref="B88" r:id="rId201" display="=+'Headline Price Calculations'!U41" xr:uid="{1B2FE14B-1FA6-457A-AC97-5DC4313C51BC}"/>
    <hyperlink ref="B70" r:id="rId202" display="=+'Headline Price Calculations'!O79" xr:uid="{A3D5F35F-568D-4C44-BAE3-86B183647A48}"/>
    <hyperlink ref="B18" r:id="rId203" display="=+'Headline Price Calculations'!U60" xr:uid="{999B1D44-665A-4160-B0DC-13E111734192}"/>
    <hyperlink ref="B17" r:id="rId204" display="=+'Headline Price Calculations'!V60" xr:uid="{36F60D14-6947-4EE0-9785-08234C27A445}"/>
    <hyperlink ref="B86" r:id="rId205" display="=+'Headline Price Calculations'!S41" xr:uid="{3E798E29-82D5-4399-A0C6-90D83A0AEE9E}"/>
    <hyperlink ref="B55" r:id="rId206" display="=+'Headline Price Calculations'!H22" xr:uid="{8001EF36-0FFD-49B3-9583-09A4455A8D53}"/>
    <hyperlink ref="B46" r:id="rId207" display="=+'Headline Price Calculations'!T3" xr:uid="{37C24005-3E34-4543-99D9-8D1629EAA1B4}"/>
    <hyperlink ref="B107" r:id="rId208" display="=+'Headline Price Calculations'!AC22" xr:uid="{6AC1563A-FFB1-4F91-842F-D682F9533B31}"/>
    <hyperlink ref="B47" r:id="rId209" display="=+'Headline Price Calculations'!S3" xr:uid="{86FB0812-0F88-4512-A429-D5520FE1DB94}"/>
    <hyperlink ref="B104" r:id="rId210" location="victoria" display="=+'Headline Price Calculations'!W22" xr:uid="{E9D4A621-EC5D-476A-8C70-4B9370469086}"/>
    <hyperlink ref="B105" r:id="rId211" location="victoria" display="=+'Headline Price Calculations'!X22" xr:uid="{4FDA0311-32DE-4968-9ED9-499220A618B5}"/>
    <hyperlink ref="B106" r:id="rId212" location="victoria" display="=+'Headline Price Calculations'!Y22" xr:uid="{A0CA62A8-30B5-4080-85C0-3691A47C27DB}"/>
    <hyperlink ref="B84" r:id="rId213" location="victoria" display="=+'Headline Price Calculations'!O41" xr:uid="{91F3C1EC-1CF5-4C2C-A754-D8720E6B106E}"/>
    <hyperlink ref="B83" r:id="rId214" location="victoria" display="=+'Headline Price Calculations'!N41" xr:uid="{2B7B3347-8D55-477E-957D-02E6ABCABF1E}"/>
    <hyperlink ref="B15" r:id="rId215" location="victoria" display="=+'Headline Price Calculations'!T60" xr:uid="{F33D22CE-0797-4B1D-92A6-47B51E6BEE1D}"/>
    <hyperlink ref="B14" r:id="rId216" location="victoria" display="=+'Headline Price Calculations'!S60" xr:uid="{CECD3E75-583D-4B55-9380-E710918F1575}"/>
    <hyperlink ref="B102" r:id="rId217" display="=+'Headline Price Calculations'!U22" xr:uid="{46DEF07D-B5EC-4ED1-83BF-97D82870CF66}"/>
    <hyperlink ref="B12" r:id="rId218" display="=+'Headline Price Calculations'!P60" xr:uid="{A60C8E52-D830-47DA-9731-18DB4C8D7448}"/>
    <hyperlink ref="B81" r:id="rId219" display="=+'Headline Price Calculations'!K41" xr:uid="{95BB03FD-44A5-4A8F-B606-590AF55433E7}"/>
    <hyperlink ref="B11" r:id="rId220" display="=+'Headline Price Calculations'!O60" xr:uid="{21B4CB24-92FA-4DD8-9F7F-6A5FAAF7B2D7}"/>
    <hyperlink ref="B67" r:id="rId221" display="=+'Headline Price Calculations'!K79" xr:uid="{29F80D2B-07BC-4637-B4B0-2C1177D35390}"/>
    <hyperlink ref="B99" r:id="rId222" display="=+'Headline Price Calculations'!R22" xr:uid="{D9D3C83A-4145-4A70-8C84-7B9F62C7BFFB}"/>
    <hyperlink ref="B100" r:id="rId223" display="=+'Headline Price Calculations'!S22" xr:uid="{CE079E0B-0677-47E2-AAFD-E49EA76B5D04}"/>
    <hyperlink ref="B78" r:id="rId224" display="=+'Headline Price Calculations'!H41" xr:uid="{5DD164FA-578B-4CBB-8415-ECE004F1DDC5}"/>
    <hyperlink ref="B77" r:id="rId225" display="=+'Headline Price Calculations'!I41" xr:uid="{1A8F2B95-2CD3-40FC-8FA7-7165B898BFF3}"/>
    <hyperlink ref="B28" r:id="rId226" display="=+'Headline Price Calculations'!V79" xr:uid="{76816A4C-5C55-4745-B752-6693D805DA9A}"/>
    <hyperlink ref="B43" r:id="rId227" display="=+'Headline Price Calculations'!O3" xr:uid="{6BD5135E-1563-438B-B50C-090B5D3ECD98}"/>
    <hyperlink ref="B42" r:id="rId228" display="=+'Headline Price Calculations'!P3" xr:uid="{836E036A-35FD-4EA9-8FF2-1271F14FB619}"/>
    <hyperlink ref="B9" r:id="rId229" display="=+'Headline Price Calculations'!L60" xr:uid="{EFDD8E4F-A3C3-4310-BF28-97FF077063F1}"/>
    <hyperlink ref="B8" r:id="rId230" display="=+'Headline Price Calculations'!M60" xr:uid="{48F667C2-74A1-4B42-8CB5-CE6AFB52E649}"/>
    <hyperlink ref="B64" r:id="rId231" display="=+'Headline Price Calculations'!H79" xr:uid="{B02F2B78-72F0-4FB6-986B-693749F6E8C7}"/>
    <hyperlink ref="B63" r:id="rId232" display="=+'Headline Price Calculations'!I79" xr:uid="{1D4CD94B-DB37-4EA7-BCCA-2A7702485266}"/>
  </hyperlinks>
  <pageMargins left="0.25" right="0.25" top="0.75" bottom="0.75" header="0.3" footer="0.3"/>
  <pageSetup paperSize="9" fitToHeight="0" orientation="portrait" r:id="rId233"/>
  <tableParts count="1">
    <tablePart r:id="rId23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1A910-0CF3-4248-9C91-D47C0D3380E6}">
  <dimension ref="A3:C89"/>
  <sheetViews>
    <sheetView workbookViewId="0">
      <selection activeCell="C12" sqref="C12"/>
    </sheetView>
  </sheetViews>
  <sheetFormatPr defaultRowHeight="15"/>
  <cols>
    <col min="1" max="1" width="33.28515625" bestFit="1" customWidth="1"/>
    <col min="2" max="2" width="29" bestFit="1" customWidth="1"/>
    <col min="3" max="3" width="33.140625" bestFit="1" customWidth="1"/>
  </cols>
  <sheetData>
    <row r="3" spans="1:3">
      <c r="A3" s="44" t="s">
        <v>191</v>
      </c>
      <c r="B3" t="s">
        <v>192</v>
      </c>
      <c r="C3" t="s">
        <v>193</v>
      </c>
    </row>
    <row r="4" spans="1:3">
      <c r="A4" s="45" t="s">
        <v>127</v>
      </c>
      <c r="B4" s="42">
        <v>0.78279249166666665</v>
      </c>
      <c r="C4" s="42">
        <v>10.872117939814814</v>
      </c>
    </row>
    <row r="5" spans="1:3">
      <c r="A5" s="46" t="s">
        <v>128</v>
      </c>
      <c r="B5" s="42">
        <v>0.74552023333333317</v>
      </c>
      <c r="C5" s="42">
        <v>10.354447685185182</v>
      </c>
    </row>
    <row r="6" spans="1:3">
      <c r="A6" s="46" t="s">
        <v>194</v>
      </c>
      <c r="B6" s="42">
        <v>0.84025640000000001</v>
      </c>
      <c r="C6" s="42">
        <v>11.670227777777777</v>
      </c>
    </row>
    <row r="7" spans="1:3">
      <c r="A7" s="46" t="s">
        <v>195</v>
      </c>
      <c r="B7" s="42">
        <v>0.77692000000000005</v>
      </c>
      <c r="C7" s="42">
        <v>10.790555555555553</v>
      </c>
    </row>
    <row r="8" spans="1:3">
      <c r="A8" s="46" t="s">
        <v>130</v>
      </c>
      <c r="B8" s="42">
        <v>0.76847333333333334</v>
      </c>
      <c r="C8" s="42">
        <v>10.67324074074074</v>
      </c>
    </row>
    <row r="9" spans="1:3">
      <c r="A9" s="45" t="s">
        <v>131</v>
      </c>
      <c r="B9" s="42">
        <v>0.62205194666666652</v>
      </c>
      <c r="C9" s="42">
        <v>8.6396103703703684</v>
      </c>
    </row>
    <row r="10" spans="1:3">
      <c r="A10" s="46" t="s">
        <v>196</v>
      </c>
      <c r="B10" s="42">
        <v>0.56486000000000003</v>
      </c>
      <c r="C10" s="42">
        <v>7.8452777777777767</v>
      </c>
    </row>
    <row r="11" spans="1:3">
      <c r="A11" s="46" t="s">
        <v>197</v>
      </c>
      <c r="B11" s="42">
        <v>0.55400800000000006</v>
      </c>
      <c r="C11" s="42">
        <v>7.6945555555555556</v>
      </c>
    </row>
    <row r="12" spans="1:3">
      <c r="A12" s="46" t="s">
        <v>198</v>
      </c>
      <c r="B12" s="42">
        <v>0.715445</v>
      </c>
      <c r="C12" s="42">
        <v>9.9367361111111094</v>
      </c>
    </row>
    <row r="13" spans="1:3">
      <c r="A13" s="46" t="s">
        <v>199</v>
      </c>
      <c r="B13" s="42">
        <v>0.54764266666666672</v>
      </c>
      <c r="C13" s="42">
        <v>7.6061481481481481</v>
      </c>
    </row>
    <row r="14" spans="1:3">
      <c r="A14" s="46" t="s">
        <v>200</v>
      </c>
      <c r="B14" s="42">
        <v>0.72266666666666668</v>
      </c>
      <c r="C14" s="42">
        <v>10.037037037037035</v>
      </c>
    </row>
    <row r="15" spans="1:3">
      <c r="A15" s="46" t="s">
        <v>128</v>
      </c>
      <c r="B15" s="42">
        <v>0.74552023333333317</v>
      </c>
      <c r="C15" s="42">
        <v>10.354447685185182</v>
      </c>
    </row>
    <row r="16" spans="1:3">
      <c r="A16" s="46" t="s">
        <v>201</v>
      </c>
      <c r="B16" s="42">
        <v>0.64659999999999995</v>
      </c>
      <c r="C16" s="42">
        <v>8.9805555555555543</v>
      </c>
    </row>
    <row r="17" spans="1:3">
      <c r="A17" s="46" t="s">
        <v>202</v>
      </c>
      <c r="B17" s="42">
        <v>0.58311999999999997</v>
      </c>
      <c r="C17" s="42">
        <v>8.0988888888888884</v>
      </c>
    </row>
    <row r="18" spans="1:3">
      <c r="A18" s="46" t="s">
        <v>203</v>
      </c>
      <c r="B18" s="42">
        <v>0.54673023333333326</v>
      </c>
      <c r="C18" s="42">
        <v>7.5934754629629611</v>
      </c>
    </row>
    <row r="19" spans="1:3">
      <c r="A19" s="46" t="s">
        <v>204</v>
      </c>
      <c r="B19" s="42">
        <v>0.59392666666666671</v>
      </c>
      <c r="C19" s="42">
        <v>8.2489814814814792</v>
      </c>
    </row>
    <row r="20" spans="1:3">
      <c r="A20" s="45" t="s">
        <v>160</v>
      </c>
      <c r="B20" s="42">
        <v>0.75679297499999998</v>
      </c>
      <c r="C20" s="42">
        <v>10.511013541666665</v>
      </c>
    </row>
    <row r="21" spans="1:3">
      <c r="A21" s="46" t="s">
        <v>197</v>
      </c>
      <c r="B21" s="42">
        <v>0.66416000000000008</v>
      </c>
      <c r="C21" s="42">
        <v>9.224444444444444</v>
      </c>
    </row>
    <row r="22" spans="1:3">
      <c r="A22" s="46" t="s">
        <v>198</v>
      </c>
      <c r="B22" s="42">
        <v>0.84901833333333332</v>
      </c>
      <c r="C22" s="42">
        <v>11.791921296296294</v>
      </c>
    </row>
    <row r="23" spans="1:3">
      <c r="A23" s="46" t="s">
        <v>128</v>
      </c>
      <c r="B23" s="42">
        <v>0.74552023333333317</v>
      </c>
      <c r="C23" s="42">
        <v>10.354447685185182</v>
      </c>
    </row>
    <row r="24" spans="1:3">
      <c r="A24" s="46" t="s">
        <v>130</v>
      </c>
      <c r="B24" s="42">
        <v>0.76847333333333334</v>
      </c>
      <c r="C24" s="42">
        <v>10.67324074074074</v>
      </c>
    </row>
    <row r="25" spans="1:3">
      <c r="A25" s="45" t="s">
        <v>124</v>
      </c>
      <c r="B25" s="42">
        <v>0.82004653333333333</v>
      </c>
      <c r="C25" s="42">
        <v>11.389535185185185</v>
      </c>
    </row>
    <row r="26" spans="1:3">
      <c r="A26" s="46" t="s">
        <v>194</v>
      </c>
      <c r="B26" s="42">
        <v>0.84025640000000001</v>
      </c>
      <c r="C26" s="42">
        <v>11.670227777777777</v>
      </c>
    </row>
    <row r="27" spans="1:3">
      <c r="A27" s="46" t="s">
        <v>195</v>
      </c>
      <c r="B27" s="42">
        <v>0.79983666666666664</v>
      </c>
      <c r="C27" s="42">
        <v>11.108842592592591</v>
      </c>
    </row>
    <row r="28" spans="1:3">
      <c r="A28" s="45" t="s">
        <v>32</v>
      </c>
      <c r="B28" s="42">
        <v>0.67282119047619038</v>
      </c>
      <c r="C28" s="42">
        <v>9.3447387566137543</v>
      </c>
    </row>
    <row r="29" spans="1:3">
      <c r="A29" s="46" t="s">
        <v>197</v>
      </c>
      <c r="B29" s="42">
        <v>0.6466966666666667</v>
      </c>
      <c r="C29" s="42">
        <v>8.9818981481481472</v>
      </c>
    </row>
    <row r="30" spans="1:3">
      <c r="A30" s="46" t="s">
        <v>198</v>
      </c>
      <c r="B30" s="42">
        <v>0.72851166666666667</v>
      </c>
      <c r="C30" s="42">
        <v>10.118217592592591</v>
      </c>
    </row>
    <row r="31" spans="1:3">
      <c r="A31" s="46" t="s">
        <v>199</v>
      </c>
      <c r="B31" s="42">
        <v>0.64198</v>
      </c>
      <c r="C31" s="42">
        <v>8.9163888888888874</v>
      </c>
    </row>
    <row r="32" spans="1:3">
      <c r="A32" s="46" t="s">
        <v>42</v>
      </c>
      <c r="B32" s="42">
        <v>0.76</v>
      </c>
      <c r="C32" s="42">
        <v>10.555555555555554</v>
      </c>
    </row>
    <row r="33" spans="1:3">
      <c r="A33" s="46" t="s">
        <v>36</v>
      </c>
      <c r="B33" s="42">
        <v>0.65389333333333333</v>
      </c>
      <c r="C33" s="42">
        <v>9.0818518518518498</v>
      </c>
    </row>
    <row r="34" spans="1:3">
      <c r="A34" s="46" t="s">
        <v>205</v>
      </c>
      <c r="B34" s="42">
        <v>0.68474000000000002</v>
      </c>
      <c r="C34" s="42">
        <v>9.5102777777777767</v>
      </c>
    </row>
    <row r="35" spans="1:3">
      <c r="A35" s="46" t="s">
        <v>204</v>
      </c>
      <c r="B35" s="42">
        <v>0.59392666666666671</v>
      </c>
      <c r="C35" s="42">
        <v>8.2489814814814792</v>
      </c>
    </row>
    <row r="36" spans="1:3">
      <c r="A36" s="45" t="s">
        <v>44</v>
      </c>
      <c r="B36" s="42">
        <v>0.6232447333333333</v>
      </c>
      <c r="C36" s="42">
        <v>8.6561768518518498</v>
      </c>
    </row>
    <row r="37" spans="1:3">
      <c r="A37" s="46" t="s">
        <v>197</v>
      </c>
      <c r="B37" s="42">
        <v>0.55400800000000006</v>
      </c>
      <c r="C37" s="42">
        <v>7.6945555555555556</v>
      </c>
    </row>
    <row r="38" spans="1:3">
      <c r="A38" s="46" t="s">
        <v>198</v>
      </c>
      <c r="B38" s="42">
        <v>0.715445</v>
      </c>
      <c r="C38" s="42">
        <v>9.9367361111111094</v>
      </c>
    </row>
    <row r="39" spans="1:3">
      <c r="A39" s="46" t="s">
        <v>205</v>
      </c>
      <c r="B39" s="42">
        <v>0.68474000000000002</v>
      </c>
      <c r="C39" s="42">
        <v>9.5102777777777767</v>
      </c>
    </row>
    <row r="40" spans="1:3">
      <c r="A40" s="46" t="s">
        <v>204</v>
      </c>
      <c r="B40" s="42">
        <v>0.59392666666666671</v>
      </c>
      <c r="C40" s="42">
        <v>8.2489814814814792</v>
      </c>
    </row>
    <row r="41" spans="1:3">
      <c r="A41" s="46" t="s">
        <v>206</v>
      </c>
      <c r="B41" s="42">
        <v>0.56810400000000016</v>
      </c>
      <c r="C41" s="42">
        <v>7.8903333333333343</v>
      </c>
    </row>
    <row r="42" spans="1:3">
      <c r="A42" s="45" t="s">
        <v>73</v>
      </c>
      <c r="B42" s="42">
        <v>0.5830562777777778</v>
      </c>
      <c r="C42" s="42">
        <v>8.0980038580246898</v>
      </c>
    </row>
    <row r="43" spans="1:3">
      <c r="A43" s="46" t="s">
        <v>197</v>
      </c>
      <c r="B43" s="42">
        <v>0.67206999999999995</v>
      </c>
      <c r="C43" s="42">
        <v>9.3343055555555541</v>
      </c>
    </row>
    <row r="44" spans="1:3">
      <c r="A44" s="46" t="s">
        <v>198</v>
      </c>
      <c r="B44" s="42">
        <v>0.715445</v>
      </c>
      <c r="C44" s="42">
        <v>9.9367361111111094</v>
      </c>
    </row>
    <row r="45" spans="1:3">
      <c r="A45" s="46" t="s">
        <v>207</v>
      </c>
      <c r="B45" s="42">
        <v>0.54810000000000003</v>
      </c>
      <c r="C45" s="42">
        <v>7.6124999999999989</v>
      </c>
    </row>
    <row r="46" spans="1:3">
      <c r="A46" s="46" t="s">
        <v>205</v>
      </c>
      <c r="B46" s="42">
        <v>0.64659999999999995</v>
      </c>
      <c r="C46" s="42">
        <v>8.9805555555555543</v>
      </c>
    </row>
    <row r="47" spans="1:3">
      <c r="A47" s="46" t="s">
        <v>79</v>
      </c>
      <c r="B47" s="42">
        <v>0.33291600000000005</v>
      </c>
      <c r="C47" s="42">
        <v>4.6238333333333337</v>
      </c>
    </row>
    <row r="48" spans="1:3">
      <c r="A48" s="46" t="s">
        <v>204</v>
      </c>
      <c r="B48" s="42">
        <v>0.58320666666666665</v>
      </c>
      <c r="C48" s="42">
        <v>8.100092592592592</v>
      </c>
    </row>
    <row r="49" spans="1:3">
      <c r="A49" s="45" t="s">
        <v>146</v>
      </c>
      <c r="B49" s="42">
        <v>0.60375107407407402</v>
      </c>
      <c r="C49" s="42">
        <v>8.3854315843621396</v>
      </c>
    </row>
    <row r="50" spans="1:3">
      <c r="A50" s="46" t="s">
        <v>196</v>
      </c>
      <c r="B50" s="42">
        <v>0.56486000000000003</v>
      </c>
      <c r="C50" s="42">
        <v>7.8452777777777767</v>
      </c>
    </row>
    <row r="51" spans="1:3">
      <c r="A51" s="46" t="s">
        <v>208</v>
      </c>
      <c r="B51" s="42">
        <v>0.59048</v>
      </c>
      <c r="C51" s="42">
        <v>8.2011111111111106</v>
      </c>
    </row>
    <row r="52" spans="1:3">
      <c r="A52" s="46" t="s">
        <v>197</v>
      </c>
      <c r="B52" s="42">
        <v>0.55400800000000006</v>
      </c>
      <c r="C52" s="42">
        <v>7.6945555555555556</v>
      </c>
    </row>
    <row r="53" spans="1:3">
      <c r="A53" s="46" t="s">
        <v>209</v>
      </c>
      <c r="B53" s="42">
        <v>0.62280000000000013</v>
      </c>
      <c r="C53" s="42">
        <v>8.65</v>
      </c>
    </row>
    <row r="54" spans="1:3">
      <c r="A54" s="46" t="s">
        <v>210</v>
      </c>
      <c r="B54" s="42">
        <v>0.58621333333333336</v>
      </c>
      <c r="C54" s="42">
        <v>8.1418518518518503</v>
      </c>
    </row>
    <row r="55" spans="1:3">
      <c r="A55" s="46" t="s">
        <v>198</v>
      </c>
      <c r="B55" s="42">
        <v>0.715445</v>
      </c>
      <c r="C55" s="42">
        <v>9.9367361111111094</v>
      </c>
    </row>
    <row r="56" spans="1:3">
      <c r="A56" s="46" t="s">
        <v>211</v>
      </c>
      <c r="B56" s="42">
        <v>0.57616000000000001</v>
      </c>
      <c r="C56" s="42">
        <v>8.0022222222222208</v>
      </c>
    </row>
    <row r="57" spans="1:3">
      <c r="A57" s="46" t="s">
        <v>212</v>
      </c>
      <c r="B57" s="42">
        <v>0.64026666666666665</v>
      </c>
      <c r="C57" s="42">
        <v>8.8925925925925906</v>
      </c>
    </row>
    <row r="58" spans="1:3">
      <c r="A58" s="46" t="s">
        <v>204</v>
      </c>
      <c r="B58" s="42">
        <v>0.58352666666666664</v>
      </c>
      <c r="C58" s="42">
        <v>8.1045370370370353</v>
      </c>
    </row>
    <row r="59" spans="1:3">
      <c r="A59" s="45" t="s">
        <v>2</v>
      </c>
      <c r="B59" s="42">
        <v>0.60566851666666666</v>
      </c>
      <c r="C59" s="42">
        <v>8.4120627314814804</v>
      </c>
    </row>
    <row r="60" spans="1:3">
      <c r="A60" s="46" t="s">
        <v>196</v>
      </c>
      <c r="B60" s="42">
        <v>0.56486000000000003</v>
      </c>
      <c r="C60" s="42">
        <v>7.8452777777777767</v>
      </c>
    </row>
    <row r="61" spans="1:3">
      <c r="A61" s="46" t="s">
        <v>208</v>
      </c>
      <c r="B61" s="42">
        <v>0.59048</v>
      </c>
      <c r="C61" s="42">
        <v>8.2011111111111106</v>
      </c>
    </row>
    <row r="62" spans="1:3">
      <c r="A62" s="46" t="s">
        <v>197</v>
      </c>
      <c r="B62" s="42">
        <v>0.55400800000000006</v>
      </c>
      <c r="C62" s="42">
        <v>7.6945555555555556</v>
      </c>
    </row>
    <row r="63" spans="1:3">
      <c r="A63" s="46" t="s">
        <v>209</v>
      </c>
      <c r="B63" s="42">
        <v>0.62280000000000013</v>
      </c>
      <c r="C63" s="42">
        <v>8.65</v>
      </c>
    </row>
    <row r="64" spans="1:3">
      <c r="A64" s="46" t="s">
        <v>198</v>
      </c>
      <c r="B64" s="42">
        <v>0.715445</v>
      </c>
      <c r="C64" s="42">
        <v>9.9367361111111094</v>
      </c>
    </row>
    <row r="65" spans="1:3">
      <c r="A65" s="46" t="s">
        <v>199</v>
      </c>
      <c r="B65" s="42">
        <v>0.54764266666666672</v>
      </c>
      <c r="C65" s="42">
        <v>7.6061481481481481</v>
      </c>
    </row>
    <row r="66" spans="1:3">
      <c r="A66" s="46" t="s">
        <v>207</v>
      </c>
      <c r="B66" s="42">
        <v>0.58848</v>
      </c>
      <c r="C66" s="42">
        <v>8.173333333333332</v>
      </c>
    </row>
    <row r="67" spans="1:3">
      <c r="A67" s="46" t="s">
        <v>211</v>
      </c>
      <c r="B67" s="42">
        <v>0.57616000000000001</v>
      </c>
      <c r="C67" s="42">
        <v>8.0022222222222208</v>
      </c>
    </row>
    <row r="68" spans="1:3">
      <c r="A68" s="46" t="s">
        <v>213</v>
      </c>
      <c r="B68" s="42">
        <v>0.62644</v>
      </c>
      <c r="C68" s="42">
        <v>8.7005555555555549</v>
      </c>
    </row>
    <row r="69" spans="1:3">
      <c r="A69" s="46" t="s">
        <v>200</v>
      </c>
      <c r="B69" s="42">
        <v>0.72266666666666668</v>
      </c>
      <c r="C69" s="42">
        <v>10.037037037037035</v>
      </c>
    </row>
    <row r="70" spans="1:3">
      <c r="A70" s="46" t="s">
        <v>201</v>
      </c>
      <c r="B70" s="42">
        <v>0.64659999999999995</v>
      </c>
      <c r="C70" s="42">
        <v>8.9805555555555543</v>
      </c>
    </row>
    <row r="71" spans="1:3">
      <c r="A71" s="46" t="s">
        <v>202</v>
      </c>
      <c r="B71" s="42">
        <v>0.58311999999999997</v>
      </c>
      <c r="C71" s="42">
        <v>8.0988888888888884</v>
      </c>
    </row>
    <row r="72" spans="1:3">
      <c r="A72" s="46" t="s">
        <v>203</v>
      </c>
      <c r="B72" s="42">
        <v>0.54673023333333326</v>
      </c>
      <c r="C72" s="42">
        <v>7.5934754629629611</v>
      </c>
    </row>
    <row r="73" spans="1:3">
      <c r="A73" s="46" t="s">
        <v>204</v>
      </c>
      <c r="B73" s="42">
        <v>0.59392666666666671</v>
      </c>
      <c r="C73" s="42">
        <v>8.2489814814814792</v>
      </c>
    </row>
    <row r="74" spans="1:3">
      <c r="A74" s="45" t="s">
        <v>82</v>
      </c>
      <c r="B74" s="42">
        <v>0.60871903333333333</v>
      </c>
      <c r="C74" s="42">
        <v>8.4544310185185179</v>
      </c>
    </row>
    <row r="75" spans="1:3">
      <c r="A75" s="46" t="s">
        <v>208</v>
      </c>
      <c r="B75" s="42">
        <v>0.59048</v>
      </c>
      <c r="C75" s="42">
        <v>8.2011111111111106</v>
      </c>
    </row>
    <row r="76" spans="1:3">
      <c r="A76" s="46" t="s">
        <v>197</v>
      </c>
      <c r="B76" s="42">
        <v>0.55400800000000006</v>
      </c>
      <c r="C76" s="42">
        <v>7.6945555555555556</v>
      </c>
    </row>
    <row r="77" spans="1:3">
      <c r="A77" s="46" t="s">
        <v>209</v>
      </c>
      <c r="B77" s="42">
        <v>0.62280000000000013</v>
      </c>
      <c r="C77" s="42">
        <v>8.65</v>
      </c>
    </row>
    <row r="78" spans="1:3">
      <c r="A78" s="46" t="s">
        <v>198</v>
      </c>
      <c r="B78" s="42">
        <v>0.715445</v>
      </c>
      <c r="C78" s="42">
        <v>9.9367361111111094</v>
      </c>
    </row>
    <row r="79" spans="1:3">
      <c r="A79" s="46" t="s">
        <v>207</v>
      </c>
      <c r="B79" s="42">
        <v>0.66512000000000004</v>
      </c>
      <c r="C79" s="42">
        <v>9.2377777777777759</v>
      </c>
    </row>
    <row r="80" spans="1:3">
      <c r="A80" s="46" t="s">
        <v>211</v>
      </c>
      <c r="B80" s="42">
        <v>0.57616000000000001</v>
      </c>
      <c r="C80" s="42">
        <v>8.0022222222222208</v>
      </c>
    </row>
    <row r="81" spans="1:3">
      <c r="A81" s="46" t="s">
        <v>200</v>
      </c>
      <c r="B81" s="42">
        <v>0.56088000000000005</v>
      </c>
      <c r="C81" s="42">
        <v>7.7899999999999983</v>
      </c>
    </row>
    <row r="82" spans="1:3">
      <c r="A82" s="46" t="s">
        <v>212</v>
      </c>
      <c r="B82" s="42">
        <v>0.64026666666666665</v>
      </c>
      <c r="C82" s="42">
        <v>8.8925925925925906</v>
      </c>
    </row>
    <row r="83" spans="1:3">
      <c r="A83" s="46" t="s">
        <v>204</v>
      </c>
      <c r="B83" s="42">
        <v>0.59392666666666671</v>
      </c>
      <c r="C83" s="42">
        <v>8.2489814814814792</v>
      </c>
    </row>
    <row r="84" spans="1:3">
      <c r="A84" s="46" t="s">
        <v>206</v>
      </c>
      <c r="B84" s="42">
        <v>0.56810400000000016</v>
      </c>
      <c r="C84" s="42">
        <v>7.8903333333333343</v>
      </c>
    </row>
    <row r="85" spans="1:3">
      <c r="A85" s="45" t="s">
        <v>56</v>
      </c>
      <c r="B85" s="42">
        <v>0.66593944444444453</v>
      </c>
      <c r="C85" s="42">
        <v>9.2491589506172804</v>
      </c>
    </row>
    <row r="86" spans="1:3">
      <c r="A86" s="46" t="s">
        <v>57</v>
      </c>
      <c r="B86" s="42">
        <v>0.66916666666666669</v>
      </c>
      <c r="C86" s="42">
        <v>9.2939814814814792</v>
      </c>
    </row>
    <row r="87" spans="1:3">
      <c r="A87" s="46" t="s">
        <v>198</v>
      </c>
      <c r="B87" s="42">
        <v>0.71048500000000003</v>
      </c>
      <c r="C87" s="42">
        <v>9.8678472222222204</v>
      </c>
    </row>
    <row r="88" spans="1:3">
      <c r="A88" s="46" t="s">
        <v>205</v>
      </c>
      <c r="B88" s="42">
        <v>0.61816666666666664</v>
      </c>
      <c r="C88" s="42">
        <v>8.585648148148147</v>
      </c>
    </row>
    <row r="89" spans="1:3">
      <c r="A89" s="45" t="s">
        <v>214</v>
      </c>
      <c r="B89" s="42">
        <v>0.63974853558558598</v>
      </c>
      <c r="C89" s="42">
        <v>8.885396327577574</v>
      </c>
    </row>
  </sheetData>
  <sheetProtection algorithmName="SHA-512" hashValue="YN6wnFC8Y0IIIyLvqLV78V2/y6i5YY/DQfHLDoi/Qlb45b9rXMIJ9qQlZb1QzLE3U0NDwhduewy+3f10wQ0EZQ==" saltValue="7RvAPhzkTinRU9dBaI/U9A==" spinCount="100000" sheet="1" objects="1" scenarios="1"/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9A93-F4D3-4591-BCAD-1651A10F938A}">
  <dimension ref="B2:B6"/>
  <sheetViews>
    <sheetView workbookViewId="0">
      <selection activeCell="B7" sqref="B7"/>
    </sheetView>
  </sheetViews>
  <sheetFormatPr defaultRowHeight="15"/>
  <sheetData>
    <row r="2" spans="2:2">
      <c r="B2" t="s">
        <v>215</v>
      </c>
    </row>
    <row r="3" spans="2:2">
      <c r="B3" t="s">
        <v>216</v>
      </c>
    </row>
    <row r="4" spans="2:2">
      <c r="B4" t="s">
        <v>217</v>
      </c>
    </row>
    <row r="5" spans="2:2">
      <c r="B5" t="s">
        <v>218</v>
      </c>
    </row>
    <row r="6" spans="2:2">
      <c r="B6" t="s">
        <v>219</v>
      </c>
    </row>
  </sheetData>
  <sheetProtection algorithmName="SHA-512" hashValue="qlXqyYMl+WmsB4rov6b5Fcm+vobHOW7lHLWGlgNovgGUFkJq4Lhlcm4O0J2lBgEeCul5Ma/IYnxb1/qJfP3YwQ==" saltValue="Z+feIsc0oow/JGrPD/7H9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3F9D-BDCB-4219-AC3A-E17368AFBA0C}">
  <dimension ref="A1:T26"/>
  <sheetViews>
    <sheetView workbookViewId="0">
      <selection activeCell="F4" sqref="F4"/>
    </sheetView>
  </sheetViews>
  <sheetFormatPr defaultRowHeight="15"/>
  <cols>
    <col min="1" max="1" width="84.28515625" customWidth="1"/>
    <col min="2" max="2" width="43.42578125" customWidth="1"/>
    <col min="3" max="3" width="12.85546875" bestFit="1" customWidth="1"/>
    <col min="4" max="4" width="20.28515625" customWidth="1"/>
    <col min="5" max="5" width="21.5703125" bestFit="1" customWidth="1"/>
    <col min="6" max="6" width="29.7109375" bestFit="1" customWidth="1"/>
    <col min="10" max="10" width="10.85546875" bestFit="1" customWidth="1"/>
    <col min="12" max="12" width="8.42578125" bestFit="1" customWidth="1"/>
    <col min="13" max="13" width="29.7109375" bestFit="1" customWidth="1"/>
    <col min="16" max="16" width="10.85546875" bestFit="1" customWidth="1"/>
    <col min="19" max="19" width="8.42578125" bestFit="1" customWidth="1"/>
    <col min="20" max="20" width="29.7109375" bestFit="1" customWidth="1"/>
  </cols>
  <sheetData>
    <row r="1" spans="1:20" ht="141" customHeight="1">
      <c r="A1" s="19" t="s">
        <v>220</v>
      </c>
      <c r="B1" s="19" t="s">
        <v>220</v>
      </c>
      <c r="C1" t="s">
        <v>221</v>
      </c>
      <c r="J1" t="s">
        <v>222</v>
      </c>
      <c r="Q1" t="s">
        <v>223</v>
      </c>
    </row>
    <row r="2" spans="1:20" ht="15.75" thickBot="1">
      <c r="E2" s="1"/>
      <c r="F2" s="1"/>
      <c r="L2" s="1"/>
      <c r="S2" s="1"/>
    </row>
    <row r="3" spans="1:20" ht="15" customHeight="1">
      <c r="C3" s="61" t="s">
        <v>7</v>
      </c>
      <c r="D3" s="71" t="s">
        <v>224</v>
      </c>
      <c r="E3" s="71" t="s">
        <v>225</v>
      </c>
      <c r="F3" s="62" t="s">
        <v>226</v>
      </c>
      <c r="J3" s="18" t="s">
        <v>7</v>
      </c>
      <c r="K3" s="18" t="s">
        <v>224</v>
      </c>
      <c r="L3" s="18" t="s">
        <v>225</v>
      </c>
      <c r="M3" s="18" t="s">
        <v>226</v>
      </c>
      <c r="Q3" s="18" t="s">
        <v>7</v>
      </c>
      <c r="R3" s="18" t="s">
        <v>224</v>
      </c>
      <c r="S3" s="18" t="s">
        <v>225</v>
      </c>
      <c r="T3" s="18" t="s">
        <v>226</v>
      </c>
    </row>
    <row r="4" spans="1:20">
      <c r="C4" s="63" t="s">
        <v>13</v>
      </c>
      <c r="D4" s="67">
        <v>5.17</v>
      </c>
      <c r="E4" s="67">
        <v>11.37</v>
      </c>
      <c r="F4" s="64">
        <f>INDEX($F$19:$F$26, MATCH(DASHBOARD!$C$18,ACM!$E$19:$E$26,1))</f>
        <v>5.0000000000000001E-3</v>
      </c>
      <c r="J4" s="8" t="s">
        <v>13</v>
      </c>
      <c r="K4" s="21">
        <v>10</v>
      </c>
      <c r="L4" s="21">
        <v>10</v>
      </c>
      <c r="M4" s="6">
        <f>INDEX($F$19:$F$26, MATCH(DASHBOARD!$C$18,ACM!$E$19:$E$26,1))</f>
        <v>5.0000000000000001E-3</v>
      </c>
      <c r="Q4" s="8" t="s">
        <v>13</v>
      </c>
      <c r="R4" s="21">
        <v>5.36</v>
      </c>
      <c r="S4" s="21">
        <v>11.79</v>
      </c>
      <c r="T4" s="6">
        <f>INDEX($F$19:$F$26, MATCH(DASHBOARD!$C$18,ACM!$E$19:$E$26,1))</f>
        <v>5.0000000000000001E-3</v>
      </c>
    </row>
    <row r="5" spans="1:20" ht="12" customHeight="1">
      <c r="C5" s="63" t="s">
        <v>15</v>
      </c>
      <c r="D5" s="67">
        <v>5.17</v>
      </c>
      <c r="E5" s="67">
        <v>11.37</v>
      </c>
      <c r="F5" s="64">
        <f>INDEX($F$19:$F$26, MATCH(DASHBOARD!$C$18,ACM!$E$19:$E$26,1))</f>
        <v>5.0000000000000001E-3</v>
      </c>
      <c r="J5" s="8" t="s">
        <v>15</v>
      </c>
      <c r="K5" s="21">
        <v>10</v>
      </c>
      <c r="L5" s="21">
        <v>10</v>
      </c>
      <c r="M5" s="6">
        <f>INDEX($F$19:$F$26, MATCH(DASHBOARD!$C$18,ACM!$E$19:$E$26,1))</f>
        <v>5.0000000000000001E-3</v>
      </c>
      <c r="Q5" s="8" t="s">
        <v>15</v>
      </c>
      <c r="R5" s="21">
        <v>5.36</v>
      </c>
      <c r="S5" s="21">
        <v>11.79</v>
      </c>
      <c r="T5" s="6">
        <f>INDEX($F$19:$F$26, MATCH(DASHBOARD!$C$18,ACM!$E$19:$E$26,1))</f>
        <v>5.0000000000000001E-3</v>
      </c>
    </row>
    <row r="6" spans="1:20">
      <c r="C6" s="63" t="s">
        <v>16</v>
      </c>
      <c r="D6" s="67">
        <v>4.78</v>
      </c>
      <c r="E6" s="67">
        <v>10.51</v>
      </c>
      <c r="F6" s="64">
        <f>INDEX($F$19:$F$26, MATCH(DASHBOARD!$C$18,ACM!$E$19:$E$26,1))</f>
        <v>5.0000000000000001E-3</v>
      </c>
      <c r="J6" s="8" t="s">
        <v>16</v>
      </c>
      <c r="K6" s="21">
        <v>8.5</v>
      </c>
      <c r="L6" s="21">
        <v>8.5</v>
      </c>
      <c r="M6" s="6">
        <f>INDEX($F$19:$F$26, MATCH(DASHBOARD!$C$18,ACM!$E$19:$E$26,1))</f>
        <v>5.0000000000000001E-3</v>
      </c>
      <c r="Q6" s="8" t="s">
        <v>16</v>
      </c>
      <c r="R6" s="21">
        <v>4.97</v>
      </c>
      <c r="S6" s="21">
        <v>10.93</v>
      </c>
      <c r="T6" s="6">
        <f>INDEX($F$19:$F$26, MATCH(DASHBOARD!$C$18,ACM!$E$19:$E$26,1))</f>
        <v>5.0000000000000001E-3</v>
      </c>
    </row>
    <row r="7" spans="1:20">
      <c r="C7" s="63" t="s">
        <v>17</v>
      </c>
      <c r="D7" s="67">
        <v>4.78</v>
      </c>
      <c r="E7" s="67">
        <v>10.51</v>
      </c>
      <c r="F7" s="64">
        <f>INDEX($F$19:$F$26, MATCH(DASHBOARD!$C$18,ACM!$E$19:$E$26,1))</f>
        <v>5.0000000000000001E-3</v>
      </c>
      <c r="J7" s="8" t="s">
        <v>17</v>
      </c>
      <c r="K7" s="21">
        <v>8.5</v>
      </c>
      <c r="L7" s="21">
        <v>8.5</v>
      </c>
      <c r="M7" s="6">
        <f>INDEX($F$19:$F$26, MATCH(DASHBOARD!$C$18,ACM!$E$19:$E$26,1))</f>
        <v>5.0000000000000001E-3</v>
      </c>
      <c r="Q7" s="8" t="s">
        <v>17</v>
      </c>
      <c r="R7" s="21">
        <v>4.97</v>
      </c>
      <c r="S7" s="21">
        <v>10.93</v>
      </c>
      <c r="T7" s="6">
        <f>INDEX($F$19:$F$26, MATCH(DASHBOARD!$C$18,ACM!$E$19:$E$26,1))</f>
        <v>5.0000000000000001E-3</v>
      </c>
    </row>
    <row r="8" spans="1:20">
      <c r="C8" s="63" t="s">
        <v>18</v>
      </c>
      <c r="D8" s="67">
        <v>4.78</v>
      </c>
      <c r="E8" s="67">
        <v>10.51</v>
      </c>
      <c r="F8" s="64">
        <f>INDEX($F$19:$F$26, MATCH(DASHBOARD!$C$18,ACM!$E$19:$E$26,1))</f>
        <v>5.0000000000000001E-3</v>
      </c>
      <c r="J8" s="8" t="s">
        <v>18</v>
      </c>
      <c r="K8" s="21">
        <v>8.5</v>
      </c>
      <c r="L8" s="21">
        <v>8.5</v>
      </c>
      <c r="M8" s="6">
        <f>INDEX($F$19:$F$26, MATCH(DASHBOARD!$C$18,ACM!$E$19:$E$26,1))</f>
        <v>5.0000000000000001E-3</v>
      </c>
      <c r="Q8" s="8" t="s">
        <v>18</v>
      </c>
      <c r="R8" s="21">
        <v>4.97</v>
      </c>
      <c r="S8" s="21">
        <v>10.93</v>
      </c>
      <c r="T8" s="6">
        <f>INDEX($F$19:$F$26, MATCH(DASHBOARD!$C$18,ACM!$E$19:$E$26,1))</f>
        <v>5.0000000000000001E-3</v>
      </c>
    </row>
    <row r="9" spans="1:20">
      <c r="C9" s="63" t="s">
        <v>19</v>
      </c>
      <c r="D9" s="67">
        <v>5.17</v>
      </c>
      <c r="E9" s="67">
        <v>11.37</v>
      </c>
      <c r="F9" s="64">
        <f>INDEX($F$19:$F$26, MATCH(DASHBOARD!$C$18,ACM!$E$19:$E$26,1))</f>
        <v>5.0000000000000001E-3</v>
      </c>
      <c r="J9" s="8" t="s">
        <v>19</v>
      </c>
      <c r="K9" s="21">
        <v>10</v>
      </c>
      <c r="L9" s="21">
        <v>10</v>
      </c>
      <c r="M9" s="6">
        <f>INDEX($F$19:$F$26, MATCH(DASHBOARD!$C$18,ACM!$E$19:$E$26,1))</f>
        <v>5.0000000000000001E-3</v>
      </c>
      <c r="Q9" s="8" t="s">
        <v>19</v>
      </c>
      <c r="R9" s="21">
        <v>5.36</v>
      </c>
      <c r="S9" s="21">
        <v>11.79</v>
      </c>
      <c r="T9" s="6">
        <f>INDEX($F$19:$F$26, MATCH(DASHBOARD!$C$18,ACM!$E$19:$E$26,1))</f>
        <v>5.0000000000000001E-3</v>
      </c>
    </row>
    <row r="10" spans="1:20">
      <c r="C10" s="63" t="s">
        <v>20</v>
      </c>
      <c r="D10" s="67">
        <v>5.17</v>
      </c>
      <c r="E10" s="67">
        <v>11.37</v>
      </c>
      <c r="F10" s="64">
        <f>INDEX($F$19:$F$26, MATCH(DASHBOARD!$C$18,ACM!$E$19:$E$26,1))</f>
        <v>5.0000000000000001E-3</v>
      </c>
      <c r="J10" s="8" t="s">
        <v>20</v>
      </c>
      <c r="K10" s="21">
        <v>10</v>
      </c>
      <c r="L10" s="21">
        <v>10</v>
      </c>
      <c r="M10" s="6">
        <f>INDEX($F$19:$F$26, MATCH(DASHBOARD!$C$18,ACM!$E$19:$E$26,1))</f>
        <v>5.0000000000000001E-3</v>
      </c>
      <c r="Q10" s="8" t="s">
        <v>20</v>
      </c>
      <c r="R10" s="21">
        <v>5.36</v>
      </c>
      <c r="S10" s="21">
        <v>11.79</v>
      </c>
      <c r="T10" s="6">
        <f>INDEX($F$19:$F$26, MATCH(DASHBOARD!$C$18,ACM!$E$19:$E$26,1))</f>
        <v>5.0000000000000001E-3</v>
      </c>
    </row>
    <row r="11" spans="1:20">
      <c r="C11" s="63" t="s">
        <v>21</v>
      </c>
      <c r="D11" s="67">
        <v>5.17</v>
      </c>
      <c r="E11" s="67">
        <v>11.37</v>
      </c>
      <c r="F11" s="64">
        <f>INDEX($F$19:$F$26, MATCH(DASHBOARD!$C$18,ACM!$E$19:$E$26,1))</f>
        <v>5.0000000000000001E-3</v>
      </c>
      <c r="J11" s="8" t="s">
        <v>21</v>
      </c>
      <c r="K11" s="21">
        <v>10</v>
      </c>
      <c r="L11" s="21">
        <v>10</v>
      </c>
      <c r="M11" s="6">
        <f>INDEX($F$19:$F$26, MATCH(DASHBOARD!$C$18,ACM!$E$19:$E$26,1))</f>
        <v>5.0000000000000001E-3</v>
      </c>
      <c r="Q11" s="8" t="s">
        <v>21</v>
      </c>
      <c r="R11" s="21">
        <v>5.36</v>
      </c>
      <c r="S11" s="21">
        <v>11.79</v>
      </c>
      <c r="T11" s="6">
        <f>INDEX($F$19:$F$26, MATCH(DASHBOARD!$C$18,ACM!$E$19:$E$26,1))</f>
        <v>5.0000000000000001E-3</v>
      </c>
    </row>
    <row r="12" spans="1:20">
      <c r="C12" s="63" t="s">
        <v>22</v>
      </c>
      <c r="D12" s="67">
        <v>5.17</v>
      </c>
      <c r="E12" s="67">
        <v>11.37</v>
      </c>
      <c r="F12" s="64">
        <f>INDEX($F$19:$F$26, MATCH(DASHBOARD!$C$18,ACM!$E$19:$E$26,1))</f>
        <v>5.0000000000000001E-3</v>
      </c>
      <c r="J12" s="8" t="s">
        <v>22</v>
      </c>
      <c r="K12" s="21">
        <v>10</v>
      </c>
      <c r="L12" s="21">
        <v>10</v>
      </c>
      <c r="M12" s="6">
        <f>INDEX($F$19:$F$26, MATCH(DASHBOARD!$C$18,ACM!$E$19:$E$26,1))</f>
        <v>5.0000000000000001E-3</v>
      </c>
      <c r="Q12" s="8" t="s">
        <v>22</v>
      </c>
      <c r="R12" s="21">
        <v>5.36</v>
      </c>
      <c r="S12" s="21">
        <v>11.79</v>
      </c>
      <c r="T12" s="6">
        <f>INDEX($F$19:$F$26, MATCH(DASHBOARD!$C$18,ACM!$E$19:$E$26,1))</f>
        <v>5.0000000000000001E-3</v>
      </c>
    </row>
    <row r="13" spans="1:20">
      <c r="C13" s="63" t="s">
        <v>23</v>
      </c>
      <c r="D13" s="67">
        <v>5.17</v>
      </c>
      <c r="E13" s="67">
        <v>11.37</v>
      </c>
      <c r="F13" s="64">
        <f>INDEX($F$19:$F$26, MATCH(DASHBOARD!$C$18,ACM!$E$19:$E$26,1))</f>
        <v>5.0000000000000001E-3</v>
      </c>
      <c r="J13" s="8" t="s">
        <v>23</v>
      </c>
      <c r="K13" s="21">
        <v>10</v>
      </c>
      <c r="L13" s="21">
        <v>10</v>
      </c>
      <c r="M13" s="6">
        <f>INDEX($F$19:$F$26, MATCH(DASHBOARD!$C$18,ACM!$E$19:$E$26,1))</f>
        <v>5.0000000000000001E-3</v>
      </c>
      <c r="Q13" s="8" t="s">
        <v>23</v>
      </c>
      <c r="R13" s="21">
        <v>5.36</v>
      </c>
      <c r="S13" s="21">
        <v>11.79</v>
      </c>
      <c r="T13" s="6">
        <f>INDEX($F$19:$F$26, MATCH(DASHBOARD!$C$18,ACM!$E$19:$E$26,1))</f>
        <v>5.0000000000000001E-3</v>
      </c>
    </row>
    <row r="14" spans="1:20">
      <c r="C14" s="63" t="s">
        <v>24</v>
      </c>
      <c r="D14" s="67">
        <v>5.17</v>
      </c>
      <c r="E14" s="67">
        <v>11.37</v>
      </c>
      <c r="F14" s="64">
        <f>INDEX($F$19:$F$26, MATCH(DASHBOARD!$C$18,ACM!$E$19:$E$26,1))</f>
        <v>5.0000000000000001E-3</v>
      </c>
      <c r="J14" s="8" t="s">
        <v>24</v>
      </c>
      <c r="K14" s="21">
        <v>10</v>
      </c>
      <c r="L14" s="21">
        <v>10</v>
      </c>
      <c r="M14" s="6">
        <f>INDEX($F$19:$F$26, MATCH(DASHBOARD!$C$18,ACM!$E$19:$E$26,1))</f>
        <v>5.0000000000000001E-3</v>
      </c>
      <c r="Q14" s="8" t="s">
        <v>24</v>
      </c>
      <c r="R14" s="21">
        <v>5.36</v>
      </c>
      <c r="S14" s="21">
        <v>11.79</v>
      </c>
      <c r="T14" s="6">
        <f>INDEX($F$19:$F$26, MATCH(DASHBOARD!$C$18,ACM!$E$19:$E$26,1))</f>
        <v>5.0000000000000001E-3</v>
      </c>
    </row>
    <row r="15" spans="1:20" ht="15.75" thickBot="1">
      <c r="C15" s="65" t="s">
        <v>25</v>
      </c>
      <c r="D15" s="69">
        <v>5.17</v>
      </c>
      <c r="E15" s="69">
        <v>11.37</v>
      </c>
      <c r="F15" s="66">
        <f>INDEX($F$19:$F$26, MATCH(DASHBOARD!$C$18,ACM!$E$19:$E$26,1))</f>
        <v>5.0000000000000001E-3</v>
      </c>
      <c r="J15" s="8" t="s">
        <v>25</v>
      </c>
      <c r="K15" s="21">
        <v>10</v>
      </c>
      <c r="L15" s="21">
        <v>10</v>
      </c>
      <c r="M15" s="6">
        <f>INDEX($F$19:$F$26, MATCH(DASHBOARD!$C$18,ACM!$E$19:$E$26,1))</f>
        <v>5.0000000000000001E-3</v>
      </c>
      <c r="Q15" s="8" t="s">
        <v>25</v>
      </c>
      <c r="R15" s="21">
        <v>5.36</v>
      </c>
      <c r="S15" s="21">
        <v>11.79</v>
      </c>
      <c r="T15" s="6">
        <f>INDEX($F$19:$F$26, MATCH(DASHBOARD!$C$18,ACM!$E$19:$E$26,1))</f>
        <v>5.0000000000000001E-3</v>
      </c>
    </row>
    <row r="17" spans="3:17">
      <c r="C17" t="s">
        <v>26</v>
      </c>
      <c r="J17" t="s">
        <v>26</v>
      </c>
      <c r="Q17" t="s">
        <v>26</v>
      </c>
    </row>
    <row r="18" spans="3:17" ht="15.75" thickBot="1"/>
    <row r="19" spans="3:17">
      <c r="E19" s="57" t="s">
        <v>227</v>
      </c>
      <c r="F19" s="58" t="s">
        <v>228</v>
      </c>
    </row>
    <row r="20" spans="3:17">
      <c r="E20" s="52">
        <v>0</v>
      </c>
      <c r="F20" s="53">
        <v>0</v>
      </c>
    </row>
    <row r="21" spans="3:17">
      <c r="E21" s="52">
        <v>1000000</v>
      </c>
      <c r="F21" s="53">
        <v>5.0000000000000001E-3</v>
      </c>
    </row>
    <row r="22" spans="3:17">
      <c r="E22" s="52">
        <v>2000000</v>
      </c>
      <c r="F22" s="53">
        <v>0.01</v>
      </c>
    </row>
    <row r="23" spans="3:17">
      <c r="E23" s="52">
        <v>3000000</v>
      </c>
      <c r="F23" s="53">
        <v>1.4999999999999999E-2</v>
      </c>
    </row>
    <row r="24" spans="3:17">
      <c r="E24" s="52">
        <v>4000000</v>
      </c>
      <c r="F24" s="53">
        <v>0.02</v>
      </c>
    </row>
    <row r="25" spans="3:17">
      <c r="E25" s="52">
        <v>5000000</v>
      </c>
      <c r="F25" s="53">
        <v>2.5000000000000001E-2</v>
      </c>
    </row>
    <row r="26" spans="3:17" ht="15.75" thickBot="1">
      <c r="E26" s="54">
        <v>6000000</v>
      </c>
      <c r="F26" s="56">
        <v>0.03</v>
      </c>
    </row>
  </sheetData>
  <sheetProtection algorithmName="SHA-512" hashValue="GE+SbbKoRo2xbNj9ZP/KAVlxJUjUAPuONxJ68PT8vFNsdxdi2XAegJEtSDwHxGx4/hyDATbsE1ZzSmvYmggSxQ==" saltValue="bDAwB8czoTu+Cn0JK1BPF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9EB24-CDFA-4C84-BB89-AD6DB150F096}">
  <dimension ref="A1:F17"/>
  <sheetViews>
    <sheetView workbookViewId="0">
      <selection activeCell="E14" sqref="E14"/>
    </sheetView>
  </sheetViews>
  <sheetFormatPr defaultRowHeight="15"/>
  <cols>
    <col min="1" max="1" width="50.140625" customWidth="1"/>
    <col min="2" max="2" width="10.85546875" bestFit="1" customWidth="1"/>
    <col min="3" max="3" width="9" bestFit="1" customWidth="1"/>
    <col min="4" max="4" width="7.5703125" bestFit="1" customWidth="1"/>
    <col min="5" max="5" width="10.28515625" customWidth="1"/>
    <col min="6" max="6" width="11.5703125" bestFit="1" customWidth="1"/>
  </cols>
  <sheetData>
    <row r="1" spans="1:6" ht="53.25" customHeight="1">
      <c r="A1" s="20" t="s">
        <v>229</v>
      </c>
    </row>
    <row r="2" spans="1:6" ht="15.75" thickBot="1"/>
    <row r="3" spans="1:6" ht="60">
      <c r="B3" s="61" t="s">
        <v>7</v>
      </c>
      <c r="C3" s="71" t="s">
        <v>224</v>
      </c>
      <c r="D3" s="71" t="s">
        <v>225</v>
      </c>
      <c r="E3" s="71" t="s">
        <v>230</v>
      </c>
      <c r="F3" s="62" t="s">
        <v>231</v>
      </c>
    </row>
    <row r="4" spans="1:6">
      <c r="B4" s="63" t="s">
        <v>13</v>
      </c>
      <c r="C4" s="67">
        <v>6.07</v>
      </c>
      <c r="D4" s="67">
        <v>9.11</v>
      </c>
      <c r="E4" s="49">
        <f>0.23</f>
        <v>0.23</v>
      </c>
      <c r="F4" s="64">
        <f>0.34</f>
        <v>0.34</v>
      </c>
    </row>
    <row r="5" spans="1:6">
      <c r="B5" s="63" t="s">
        <v>15</v>
      </c>
      <c r="C5" s="67">
        <v>6.07</v>
      </c>
      <c r="D5" s="67">
        <v>9.11</v>
      </c>
      <c r="E5" s="49">
        <f t="shared" ref="E5:E15" si="0">0.23</f>
        <v>0.23</v>
      </c>
      <c r="F5" s="64">
        <f t="shared" ref="F5:F15" si="1">0.34</f>
        <v>0.34</v>
      </c>
    </row>
    <row r="6" spans="1:6">
      <c r="B6" s="63" t="s">
        <v>16</v>
      </c>
      <c r="C6" s="67">
        <v>6.07</v>
      </c>
      <c r="D6" s="67">
        <v>9.11</v>
      </c>
      <c r="E6" s="49">
        <f t="shared" si="0"/>
        <v>0.23</v>
      </c>
      <c r="F6" s="64">
        <f t="shared" si="1"/>
        <v>0.34</v>
      </c>
    </row>
    <row r="7" spans="1:6">
      <c r="B7" s="63" t="s">
        <v>17</v>
      </c>
      <c r="C7" s="67">
        <v>6.07</v>
      </c>
      <c r="D7" s="67">
        <v>9.11</v>
      </c>
      <c r="E7" s="49">
        <f t="shared" si="0"/>
        <v>0.23</v>
      </c>
      <c r="F7" s="64">
        <f t="shared" si="1"/>
        <v>0.34</v>
      </c>
    </row>
    <row r="8" spans="1:6">
      <c r="B8" s="63" t="s">
        <v>18</v>
      </c>
      <c r="C8" s="67">
        <v>6.07</v>
      </c>
      <c r="D8" s="67">
        <v>9.11</v>
      </c>
      <c r="E8" s="49">
        <f t="shared" si="0"/>
        <v>0.23</v>
      </c>
      <c r="F8" s="64">
        <f t="shared" si="1"/>
        <v>0.34</v>
      </c>
    </row>
    <row r="9" spans="1:6">
      <c r="B9" s="63" t="s">
        <v>19</v>
      </c>
      <c r="C9" s="67">
        <v>6.07</v>
      </c>
      <c r="D9" s="67">
        <v>9.11</v>
      </c>
      <c r="E9" s="49">
        <f t="shared" si="0"/>
        <v>0.23</v>
      </c>
      <c r="F9" s="64">
        <f t="shared" si="1"/>
        <v>0.34</v>
      </c>
    </row>
    <row r="10" spans="1:6">
      <c r="B10" s="63" t="s">
        <v>20</v>
      </c>
      <c r="C10" s="67">
        <v>6.89</v>
      </c>
      <c r="D10" s="67">
        <v>10.34</v>
      </c>
      <c r="E10" s="49">
        <f t="shared" si="0"/>
        <v>0.23</v>
      </c>
      <c r="F10" s="64">
        <f t="shared" si="1"/>
        <v>0.34</v>
      </c>
    </row>
    <row r="11" spans="1:6">
      <c r="B11" s="63" t="s">
        <v>21</v>
      </c>
      <c r="C11" s="67">
        <v>6.89</v>
      </c>
      <c r="D11" s="67">
        <v>10.34</v>
      </c>
      <c r="E11" s="49">
        <f t="shared" si="0"/>
        <v>0.23</v>
      </c>
      <c r="F11" s="64">
        <f t="shared" si="1"/>
        <v>0.34</v>
      </c>
    </row>
    <row r="12" spans="1:6">
      <c r="B12" s="63" t="s">
        <v>22</v>
      </c>
      <c r="C12" s="67">
        <v>6.89</v>
      </c>
      <c r="D12" s="67">
        <v>10.34</v>
      </c>
      <c r="E12" s="49">
        <f t="shared" si="0"/>
        <v>0.23</v>
      </c>
      <c r="F12" s="64">
        <f t="shared" si="1"/>
        <v>0.34</v>
      </c>
    </row>
    <row r="13" spans="1:6">
      <c r="B13" s="63" t="s">
        <v>23</v>
      </c>
      <c r="C13" s="67">
        <v>6.89</v>
      </c>
      <c r="D13" s="67">
        <v>10.34</v>
      </c>
      <c r="E13" s="49">
        <f t="shared" si="0"/>
        <v>0.23</v>
      </c>
      <c r="F13" s="64">
        <f t="shared" si="1"/>
        <v>0.34</v>
      </c>
    </row>
    <row r="14" spans="1:6">
      <c r="B14" s="63" t="s">
        <v>24</v>
      </c>
      <c r="C14" s="67">
        <v>6.89</v>
      </c>
      <c r="D14" s="67">
        <v>10.34</v>
      </c>
      <c r="E14" s="49">
        <f t="shared" si="0"/>
        <v>0.23</v>
      </c>
      <c r="F14" s="64">
        <f t="shared" si="1"/>
        <v>0.34</v>
      </c>
    </row>
    <row r="15" spans="1:6" ht="15.75" thickBot="1">
      <c r="B15" s="65" t="s">
        <v>25</v>
      </c>
      <c r="C15" s="69">
        <v>6.89</v>
      </c>
      <c r="D15" s="69">
        <v>10.34</v>
      </c>
      <c r="E15" s="74">
        <f t="shared" si="0"/>
        <v>0.23</v>
      </c>
      <c r="F15" s="66">
        <f t="shared" si="1"/>
        <v>0.34</v>
      </c>
    </row>
    <row r="17" spans="2:2">
      <c r="B17" t="s">
        <v>26</v>
      </c>
    </row>
  </sheetData>
  <sheetProtection algorithmName="SHA-512" hashValue="iJrNNSpvjrh94/R1DPFabwrl5foyAZrXQR0eTu0WiF0+O+ooVSeEuGM8AX1EqO4djH2y3zuyXzXY8AfhVqPuEA==" saltValue="0cPpCkaBnKlGzEWQEaO7og==" spinCount="100000" sheet="1" objects="1" scenarios="1"/>
  <sortState xmlns:xlrd2="http://schemas.microsoft.com/office/spreadsheetml/2017/richdata2" ref="C3:C334">
    <sortCondition ref="C3:C33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1144-10AD-4064-9818-3E1E3E35D73B}">
  <dimension ref="A1:R65"/>
  <sheetViews>
    <sheetView topLeftCell="D2" workbookViewId="0">
      <selection activeCell="G20" sqref="G20:G31"/>
    </sheetView>
  </sheetViews>
  <sheetFormatPr defaultRowHeight="15"/>
  <cols>
    <col min="3" max="3" width="10.7109375" bestFit="1" customWidth="1"/>
    <col min="4" max="4" width="20.85546875" customWidth="1"/>
    <col min="5" max="5" width="19.7109375" customWidth="1"/>
    <col min="6" max="6" width="38.7109375" customWidth="1"/>
    <col min="7" max="7" width="37.42578125" customWidth="1"/>
    <col min="8" max="8" width="15.28515625" customWidth="1"/>
    <col min="9" max="9" width="16.42578125" bestFit="1" customWidth="1"/>
    <col min="10" max="10" width="22" customWidth="1"/>
    <col min="11" max="11" width="11.42578125" customWidth="1"/>
    <col min="12" max="12" width="19.42578125" bestFit="1" customWidth="1"/>
    <col min="13" max="13" width="18" bestFit="1" customWidth="1"/>
    <col min="14" max="14" width="14.42578125" customWidth="1"/>
    <col min="15" max="15" width="20.28515625" customWidth="1"/>
    <col min="16" max="16" width="18" bestFit="1" customWidth="1"/>
  </cols>
  <sheetData>
    <row r="1" spans="1:18" ht="15.75">
      <c r="A1" s="23" t="s">
        <v>232</v>
      </c>
    </row>
    <row r="2" spans="1:18" ht="15.75" thickBot="1">
      <c r="K2" s="1"/>
      <c r="L2" s="1"/>
      <c r="M2" s="1"/>
      <c r="N2" s="1"/>
    </row>
    <row r="3" spans="1:18" ht="14.25" customHeight="1">
      <c r="B3" t="s">
        <v>233</v>
      </c>
      <c r="C3" s="61" t="s">
        <v>7</v>
      </c>
      <c r="D3" s="71" t="s">
        <v>224</v>
      </c>
      <c r="E3" s="71" t="s">
        <v>225</v>
      </c>
      <c r="F3" s="71" t="s">
        <v>234</v>
      </c>
      <c r="G3" s="71" t="s">
        <v>235</v>
      </c>
      <c r="H3" s="71" t="s">
        <v>236</v>
      </c>
      <c r="I3" s="62" t="s">
        <v>237</v>
      </c>
      <c r="K3" s="57" t="s">
        <v>238</v>
      </c>
      <c r="L3" s="60" t="s">
        <v>239</v>
      </c>
      <c r="M3" s="58" t="s">
        <v>240</v>
      </c>
      <c r="N3" s="2"/>
    </row>
    <row r="4" spans="1:18" ht="14.25" customHeight="1">
      <c r="C4" s="63" t="s">
        <v>13</v>
      </c>
      <c r="D4" s="75">
        <v>6.4939999999999998</v>
      </c>
      <c r="E4" s="75">
        <v>13.614000000000001</v>
      </c>
      <c r="F4" s="49">
        <f>INDEX($L$3:$L$19, MATCH(DASHBOARD!$C5*DASHBOARD!$D5*0.01,'Bega (Bega &amp; Bodalla)'!$K$3:$K$19,1))</f>
        <v>4.4999999999999998E-2</v>
      </c>
      <c r="G4" s="49">
        <f>INDEX($M$3:$M$19, MATCH(DASHBOARD!$C5*DASHBOARD!$E5*0.01,'Bega (Bega &amp; Bodalla)'!$K$3:$K$19,1))</f>
        <v>0.09</v>
      </c>
      <c r="H4" s="78">
        <f>8*31</f>
        <v>248</v>
      </c>
      <c r="I4" s="72">
        <v>1.4E-2</v>
      </c>
      <c r="K4" s="52">
        <v>0</v>
      </c>
      <c r="L4" s="51">
        <v>1.4999999999999999E-2</v>
      </c>
      <c r="M4" s="76">
        <v>3.7999999999999999E-2</v>
      </c>
      <c r="Q4" s="28"/>
      <c r="R4" s="28"/>
    </row>
    <row r="5" spans="1:18" ht="12" customHeight="1">
      <c r="C5" s="63" t="s">
        <v>15</v>
      </c>
      <c r="D5" s="75">
        <v>6.4939999999999998</v>
      </c>
      <c r="E5" s="75">
        <v>13.614000000000001</v>
      </c>
      <c r="F5" s="49">
        <f>INDEX($L$3:$L$19, MATCH(DASHBOARD!$C6*DASHBOARD!$D6*0.01,'Bega (Bega &amp; Bodalla)'!$K$3:$K$19,1))</f>
        <v>4.4999999999999998E-2</v>
      </c>
      <c r="G5" s="49">
        <f>INDEX($M$3:$M$19, MATCH(DASHBOARD!$C6*DASHBOARD!$E6*0.01,'Bega (Bega &amp; Bodalla)'!$K$3:$K$19,1))</f>
        <v>0.09</v>
      </c>
      <c r="H5" s="78">
        <f>8*31</f>
        <v>248</v>
      </c>
      <c r="I5" s="72">
        <v>1.4E-2</v>
      </c>
      <c r="K5" s="52">
        <v>1501</v>
      </c>
      <c r="L5" s="51">
        <v>2.5000000000000001E-2</v>
      </c>
      <c r="M5" s="76">
        <v>6.5000000000000002E-2</v>
      </c>
      <c r="Q5" s="28"/>
      <c r="R5" s="28"/>
    </row>
    <row r="6" spans="1:18">
      <c r="C6" s="63" t="s">
        <v>16</v>
      </c>
      <c r="D6" s="75">
        <v>7.1660000000000004</v>
      </c>
      <c r="E6" s="75">
        <v>12.279</v>
      </c>
      <c r="F6" s="49">
        <f>INDEX($L$3:$L$19, MATCH(DASHBOARD!$C7*DASHBOARD!$D7*0.01,'Bega (Bega &amp; Bodalla)'!$K$3:$K$19,1))</f>
        <v>4.4999999999999998E-2</v>
      </c>
      <c r="G6" s="49">
        <f>INDEX($M$3:$M$19, MATCH(DASHBOARD!$C7*DASHBOARD!$E7*0.01,'Bega (Bega &amp; Bodalla)'!$K$3:$K$19,1))</f>
        <v>0.09</v>
      </c>
      <c r="H6" s="78">
        <f>8*30</f>
        <v>240</v>
      </c>
      <c r="I6" s="72">
        <v>1.4E-2</v>
      </c>
      <c r="K6" s="52">
        <v>2501</v>
      </c>
      <c r="L6" s="51">
        <v>3.5000000000000003E-2</v>
      </c>
      <c r="M6" s="76">
        <v>0.09</v>
      </c>
      <c r="Q6" s="28"/>
      <c r="R6" s="28"/>
    </row>
    <row r="7" spans="1:18">
      <c r="C7" s="63" t="s">
        <v>17</v>
      </c>
      <c r="D7" s="75">
        <v>7.3019999999999996</v>
      </c>
      <c r="E7" s="75">
        <v>11.425000000000001</v>
      </c>
      <c r="F7" s="49">
        <f>INDEX($L$3:$L$19, MATCH(DASHBOARD!$C8*DASHBOARD!$D8*0.01,'Bega (Bega &amp; Bodalla)'!$K$3:$K$19,1))</f>
        <v>4.4999999999999998E-2</v>
      </c>
      <c r="G7" s="49">
        <f>INDEX($M$3:$M$19, MATCH(DASHBOARD!$C8*DASHBOARD!$E8*0.01,'Bega (Bega &amp; Bodalla)'!$K$3:$K$19,1))</f>
        <v>0.09</v>
      </c>
      <c r="H7" s="78">
        <f>8*31</f>
        <v>248</v>
      </c>
      <c r="I7" s="72">
        <v>1.4E-2</v>
      </c>
      <c r="K7" s="52">
        <v>3501</v>
      </c>
      <c r="L7" s="51">
        <v>4.4999999999999998E-2</v>
      </c>
      <c r="M7" s="76">
        <v>0.115</v>
      </c>
      <c r="Q7" s="28"/>
      <c r="R7" s="28"/>
    </row>
    <row r="8" spans="1:18">
      <c r="C8" s="63" t="s">
        <v>18</v>
      </c>
      <c r="D8" s="75">
        <v>7.3019999999999996</v>
      </c>
      <c r="E8" s="75">
        <v>11.425000000000001</v>
      </c>
      <c r="F8" s="49">
        <f>INDEX($L$3:$L$19, MATCH(DASHBOARD!$C9*DASHBOARD!$D9*0.01,'Bega (Bega &amp; Bodalla)'!$K$3:$K$19,1))</f>
        <v>4.4999999999999998E-2</v>
      </c>
      <c r="G8" s="49">
        <f>INDEX($M$3:$M$19, MATCH(DASHBOARD!$C9*DASHBOARD!$E9*0.01,'Bega (Bega &amp; Bodalla)'!$K$3:$K$19,1))</f>
        <v>0.09</v>
      </c>
      <c r="H8" s="78">
        <f>8*30</f>
        <v>240</v>
      </c>
      <c r="I8" s="72">
        <v>1.4E-2</v>
      </c>
      <c r="K8" s="52">
        <v>5501</v>
      </c>
      <c r="L8" s="51">
        <v>0.06</v>
      </c>
      <c r="M8" s="76">
        <v>0.155</v>
      </c>
      <c r="Q8" s="28"/>
      <c r="R8" s="28"/>
    </row>
    <row r="9" spans="1:18">
      <c r="C9" s="63" t="s">
        <v>19</v>
      </c>
      <c r="D9" s="75">
        <v>6.8019999999999996</v>
      </c>
      <c r="E9" s="75">
        <v>11.534000000000001</v>
      </c>
      <c r="F9" s="49">
        <f>INDEX($L$3:$L$19, MATCH(DASHBOARD!$C10*DASHBOARD!$D10*0.01,'Bega (Bega &amp; Bodalla)'!$K$3:$K$19,1))</f>
        <v>4.4999999999999998E-2</v>
      </c>
      <c r="G9" s="49">
        <f>INDEX($M$3:$M$19, MATCH(DASHBOARD!$C10*DASHBOARD!$E10*0.01,'Bega (Bega &amp; Bodalla)'!$K$3:$K$19,1))</f>
        <v>0.09</v>
      </c>
      <c r="H9" s="78">
        <f>8*31</f>
        <v>248</v>
      </c>
      <c r="I9" s="72">
        <v>1.4E-2</v>
      </c>
      <c r="K9" s="52">
        <v>7501</v>
      </c>
      <c r="L9" s="51">
        <v>7.4999999999999997E-2</v>
      </c>
      <c r="M9" s="76">
        <v>0.19500000000000001</v>
      </c>
      <c r="Q9" s="28"/>
      <c r="R9" s="28"/>
    </row>
    <row r="10" spans="1:18">
      <c r="C10" s="63" t="s">
        <v>20</v>
      </c>
      <c r="D10" s="75">
        <v>6.8019999999999996</v>
      </c>
      <c r="E10" s="75">
        <v>11.534000000000001</v>
      </c>
      <c r="F10" s="49">
        <f>INDEX($L$3:$L$19, MATCH(DASHBOARD!$C11*DASHBOARD!$D11*0.01,'Bega (Bega &amp; Bodalla)'!$K$3:$K$19,1))</f>
        <v>4.4999999999999998E-2</v>
      </c>
      <c r="G10" s="49">
        <f>INDEX($M$3:$M$19, MATCH(DASHBOARD!$C11*DASHBOARD!$E11*0.01,'Bega (Bega &amp; Bodalla)'!$K$3:$K$19,1))</f>
        <v>0.09</v>
      </c>
      <c r="H10" s="78">
        <f>8*31</f>
        <v>248</v>
      </c>
      <c r="I10" s="72">
        <v>1.4E-2</v>
      </c>
      <c r="K10" s="52">
        <v>10001</v>
      </c>
      <c r="L10" s="51">
        <v>0.09</v>
      </c>
      <c r="M10" s="76">
        <v>0.23499999999999999</v>
      </c>
      <c r="Q10" s="28"/>
      <c r="R10" s="28"/>
    </row>
    <row r="11" spans="1:18">
      <c r="C11" s="63" t="s">
        <v>21</v>
      </c>
      <c r="D11" s="75">
        <v>6.63</v>
      </c>
      <c r="E11" s="75">
        <v>12.379</v>
      </c>
      <c r="F11" s="49">
        <f>INDEX($L$3:$L$19, MATCH(DASHBOARD!$C12*DASHBOARD!$D12*0.01,'Bega (Bega &amp; Bodalla)'!$K$3:$K$19,1))</f>
        <v>4.4999999999999998E-2</v>
      </c>
      <c r="G11" s="49">
        <f>INDEX($M$3:$M$19, MATCH(DASHBOARD!$C12*DASHBOARD!$E12*0.01,'Bega (Bega &amp; Bodalla)'!$K$3:$K$19,1))</f>
        <v>0.09</v>
      </c>
      <c r="H11" s="78">
        <f>8*28</f>
        <v>224</v>
      </c>
      <c r="I11" s="72">
        <v>1.4E-2</v>
      </c>
      <c r="K11" s="52">
        <v>12501</v>
      </c>
      <c r="L11" s="51">
        <v>0.105</v>
      </c>
      <c r="M11" s="76">
        <v>0.27500000000000002</v>
      </c>
      <c r="Q11" s="28"/>
      <c r="R11" s="28"/>
    </row>
    <row r="12" spans="1:18">
      <c r="C12" s="63" t="s">
        <v>22</v>
      </c>
      <c r="D12" s="75">
        <v>6.4939999999999998</v>
      </c>
      <c r="E12" s="75">
        <v>13.614000000000001</v>
      </c>
      <c r="F12" s="49">
        <f>INDEX($L$3:$L$19, MATCH(DASHBOARD!$C13*DASHBOARD!$D13*0.01,'Bega (Bega &amp; Bodalla)'!$K$3:$K$19,1))</f>
        <v>4.4999999999999998E-2</v>
      </c>
      <c r="G12" s="49">
        <f>INDEX($M$3:$M$19, MATCH(DASHBOARD!$C13*DASHBOARD!$E13*0.01,'Bega (Bega &amp; Bodalla)'!$K$3:$K$19,1))</f>
        <v>0.09</v>
      </c>
      <c r="H12" s="78">
        <f>8*31</f>
        <v>248</v>
      </c>
      <c r="I12" s="72">
        <v>1.4E-2</v>
      </c>
      <c r="K12" s="52">
        <v>15001</v>
      </c>
      <c r="L12" s="51">
        <v>0.12</v>
      </c>
      <c r="M12" s="76">
        <v>0.3</v>
      </c>
      <c r="Q12" s="28"/>
      <c r="R12" s="28"/>
    </row>
    <row r="13" spans="1:18">
      <c r="C13" s="63" t="s">
        <v>23</v>
      </c>
      <c r="D13" s="75">
        <v>6.4939999999999998</v>
      </c>
      <c r="E13" s="75">
        <v>13.614000000000001</v>
      </c>
      <c r="F13" s="49">
        <f>INDEX($L$3:$L$19, MATCH(DASHBOARD!$C14*DASHBOARD!$D14*0.01,'Bega (Bega &amp; Bodalla)'!$K$3:$K$19,1))</f>
        <v>4.4999999999999998E-2</v>
      </c>
      <c r="G13" s="49">
        <f>INDEX($M$3:$M$19, MATCH(DASHBOARD!$C14*DASHBOARD!$E14*0.01,'Bega (Bega &amp; Bodalla)'!$K$3:$K$19,1))</f>
        <v>0.09</v>
      </c>
      <c r="H13" s="78">
        <f>8*30</f>
        <v>240</v>
      </c>
      <c r="I13" s="72">
        <v>1.4E-2</v>
      </c>
      <c r="K13" s="52">
        <v>17501</v>
      </c>
      <c r="L13" s="51">
        <v>0.13500000000000001</v>
      </c>
      <c r="M13" s="76">
        <v>0.35499999999999998</v>
      </c>
      <c r="Q13" s="28"/>
      <c r="R13" s="28"/>
    </row>
    <row r="14" spans="1:18">
      <c r="C14" s="63" t="s">
        <v>24</v>
      </c>
      <c r="D14" s="75">
        <v>6.4939999999999998</v>
      </c>
      <c r="E14" s="75">
        <v>13.614000000000001</v>
      </c>
      <c r="F14" s="49">
        <f>INDEX($L$3:$L$19, MATCH(DASHBOARD!$C15*DASHBOARD!$D15*0.01,'Bega (Bega &amp; Bodalla)'!$K$3:$K$19,1))</f>
        <v>4.4999999999999998E-2</v>
      </c>
      <c r="G14" s="49">
        <f>INDEX($M$3:$M$19, MATCH(DASHBOARD!$C15*DASHBOARD!$E15*0.01,'Bega (Bega &amp; Bodalla)'!$K$3:$K$19,1))</f>
        <v>0.09</v>
      </c>
      <c r="H14" s="78">
        <f>8*31</f>
        <v>248</v>
      </c>
      <c r="I14" s="72">
        <v>1.4E-2</v>
      </c>
      <c r="K14" s="52">
        <v>20001</v>
      </c>
      <c r="L14" s="51">
        <v>0.15</v>
      </c>
      <c r="M14" s="76">
        <v>0.39500000000000002</v>
      </c>
      <c r="Q14" s="28"/>
      <c r="R14" s="28"/>
    </row>
    <row r="15" spans="1:18" ht="15.75" thickBot="1">
      <c r="C15" s="65" t="s">
        <v>25</v>
      </c>
      <c r="D15" s="79">
        <v>6.4939999999999998</v>
      </c>
      <c r="E15" s="79">
        <v>13.614000000000001</v>
      </c>
      <c r="F15" s="74">
        <f>INDEX($L$3:$L$19, MATCH(DASHBOARD!$C16*DASHBOARD!$D16*0.01,'Bega (Bega &amp; Bodalla)'!$K$3:$K$19,1))</f>
        <v>4.4999999999999998E-2</v>
      </c>
      <c r="G15" s="74">
        <f>INDEX($M$3:$M$19, MATCH(DASHBOARD!$C16*DASHBOARD!$E16*0.01,'Bega (Bega &amp; Bodalla)'!$K$3:$K$19,1))</f>
        <v>0.09</v>
      </c>
      <c r="H15" s="80">
        <f>8*31</f>
        <v>248</v>
      </c>
      <c r="I15" s="73">
        <v>1.4E-2</v>
      </c>
      <c r="K15" s="52">
        <v>25001</v>
      </c>
      <c r="L15" s="51">
        <v>0.16500000000000001</v>
      </c>
      <c r="M15" s="76">
        <v>0.435</v>
      </c>
      <c r="Q15" s="28"/>
      <c r="R15" s="28"/>
    </row>
    <row r="16" spans="1:18">
      <c r="K16" s="52">
        <v>30001</v>
      </c>
      <c r="L16" s="51">
        <v>0.18</v>
      </c>
      <c r="M16" s="76">
        <v>0.47499999999999998</v>
      </c>
      <c r="Q16" s="28"/>
      <c r="R16" s="28"/>
    </row>
    <row r="17" spans="2:18">
      <c r="C17" t="s">
        <v>26</v>
      </c>
      <c r="I17" s="34" t="s">
        <v>241</v>
      </c>
      <c r="K17" s="52">
        <v>40001</v>
      </c>
      <c r="L17" s="51">
        <v>0.19500000000000001</v>
      </c>
      <c r="M17" s="76">
        <v>0.51500000000000001</v>
      </c>
      <c r="Q17" s="28"/>
      <c r="R17" s="28"/>
    </row>
    <row r="18" spans="2:18">
      <c r="K18" s="52">
        <v>50001</v>
      </c>
      <c r="L18" s="51">
        <v>0.21</v>
      </c>
      <c r="M18" s="76">
        <v>0.55500000000000005</v>
      </c>
      <c r="Q18" s="28"/>
      <c r="R18" s="28"/>
    </row>
    <row r="19" spans="2:18" ht="30.75">
      <c r="B19" t="s">
        <v>242</v>
      </c>
      <c r="C19" s="61" t="s">
        <v>7</v>
      </c>
      <c r="D19" s="71" t="s">
        <v>224</v>
      </c>
      <c r="E19" s="71" t="s">
        <v>225</v>
      </c>
      <c r="F19" s="71" t="s">
        <v>234</v>
      </c>
      <c r="G19" s="71" t="s">
        <v>235</v>
      </c>
      <c r="H19" s="71" t="s">
        <v>236</v>
      </c>
      <c r="I19" s="62" t="s">
        <v>237</v>
      </c>
      <c r="K19" s="54">
        <v>60001</v>
      </c>
      <c r="L19" s="55">
        <v>0.23</v>
      </c>
      <c r="M19" s="77">
        <v>0.6</v>
      </c>
      <c r="Q19" s="28"/>
      <c r="R19" s="28"/>
    </row>
    <row r="20" spans="2:18">
      <c r="C20" s="63" t="s">
        <v>13</v>
      </c>
      <c r="D20" s="75">
        <v>6.1849999999999996</v>
      </c>
      <c r="E20" s="75">
        <v>15.462</v>
      </c>
      <c r="F20" s="49">
        <f>INDEX($L$3:$L$19, MATCH(DASHBOARD!$C5*DASHBOARD!$D5*0.01,'Bega (Bega &amp; Bodalla)'!$K$3:$K$19,1))</f>
        <v>4.4999999999999998E-2</v>
      </c>
      <c r="G20" s="49">
        <f>INDEX($M$3:$M$19, MATCH(DASHBOARD!$C5*DASHBOARD!$E5*0.01,'Bega (Bega &amp; Bodalla)'!$K$3:$K$19,1))</f>
        <v>0.09</v>
      </c>
      <c r="H20" s="78">
        <f>8*31</f>
        <v>248</v>
      </c>
      <c r="I20" s="72">
        <v>1.4E-2</v>
      </c>
      <c r="L20" s="28"/>
      <c r="Q20" s="28"/>
      <c r="R20" s="28"/>
    </row>
    <row r="21" spans="2:18">
      <c r="C21" s="63" t="s">
        <v>15</v>
      </c>
      <c r="D21" s="75">
        <v>6.1849999999999996</v>
      </c>
      <c r="E21" s="75">
        <v>15.462</v>
      </c>
      <c r="F21" s="49">
        <f>INDEX($L$3:$L$19, MATCH(DASHBOARD!$C6*DASHBOARD!$D6*0.01,'Bega (Bega &amp; Bodalla)'!$K$3:$K$19,1))</f>
        <v>4.4999999999999998E-2</v>
      </c>
      <c r="G21" s="49">
        <f>INDEX($M$3:$M$19, MATCH(DASHBOARD!$C6*DASHBOARD!$E6*0.01,'Bega (Bega &amp; Bodalla)'!$K$3:$K$19,1))</f>
        <v>0.09</v>
      </c>
      <c r="H21" s="78">
        <f>8*31</f>
        <v>248</v>
      </c>
      <c r="I21" s="72">
        <v>1.4E-2</v>
      </c>
      <c r="L21" s="28"/>
      <c r="P21" s="28"/>
      <c r="Q21" s="28"/>
      <c r="R21" s="28"/>
    </row>
    <row r="22" spans="2:18">
      <c r="C22" s="63" t="s">
        <v>16</v>
      </c>
      <c r="D22" s="75">
        <v>5.14</v>
      </c>
      <c r="E22" s="75">
        <v>12.851000000000001</v>
      </c>
      <c r="F22" s="49">
        <f>INDEX($L$3:$L$19, MATCH(DASHBOARD!$C7*DASHBOARD!$D7*0.01,'Bega (Bega &amp; Bodalla)'!$K$3:$K$19,1))</f>
        <v>4.4999999999999998E-2</v>
      </c>
      <c r="G22" s="49">
        <f>INDEX($M$3:$M$19, MATCH(DASHBOARD!$C7*DASHBOARD!$E7*0.01,'Bega (Bega &amp; Bodalla)'!$K$3:$K$19,1))</f>
        <v>0.09</v>
      </c>
      <c r="H22" s="78">
        <f>8*30</f>
        <v>240</v>
      </c>
      <c r="I22" s="72">
        <v>1.4E-2</v>
      </c>
      <c r="L22" s="28"/>
      <c r="N22" s="28"/>
      <c r="O22" s="28"/>
      <c r="P22" s="28"/>
      <c r="Q22" s="28"/>
      <c r="R22" s="28"/>
    </row>
    <row r="23" spans="2:18">
      <c r="C23" s="63" t="s">
        <v>17</v>
      </c>
      <c r="D23" s="75">
        <v>5.14</v>
      </c>
      <c r="E23" s="75">
        <v>12.851000000000001</v>
      </c>
      <c r="F23" s="49">
        <f>INDEX($L$3:$L$19, MATCH(DASHBOARD!$C8*DASHBOARD!$D8*0.01,'Bega (Bega &amp; Bodalla)'!$K$3:$K$19,1))</f>
        <v>4.4999999999999998E-2</v>
      </c>
      <c r="G23" s="49">
        <f>INDEX($M$3:$M$19, MATCH(DASHBOARD!$C8*DASHBOARD!$E8*0.01,'Bega (Bega &amp; Bodalla)'!$K$3:$K$19,1))</f>
        <v>0.09</v>
      </c>
      <c r="H23" s="78">
        <f>8*31</f>
        <v>248</v>
      </c>
      <c r="I23" s="72">
        <v>1.4E-2</v>
      </c>
      <c r="L23" s="28"/>
      <c r="N23" s="28"/>
      <c r="O23" s="28"/>
      <c r="P23" s="28"/>
      <c r="Q23" s="28"/>
      <c r="R23" s="28"/>
    </row>
    <row r="24" spans="2:18">
      <c r="C24" s="63" t="s">
        <v>18</v>
      </c>
      <c r="D24" s="75">
        <v>5.14</v>
      </c>
      <c r="E24" s="75">
        <v>12.851000000000001</v>
      </c>
      <c r="F24" s="49">
        <f>INDEX($L$3:$L$19, MATCH(DASHBOARD!$C9*DASHBOARD!$D9*0.01,'Bega (Bega &amp; Bodalla)'!$K$3:$K$19,1))</f>
        <v>4.4999999999999998E-2</v>
      </c>
      <c r="G24" s="49">
        <f>INDEX($M$3:$M$19, MATCH(DASHBOARD!$C9*DASHBOARD!$E9*0.01,'Bega (Bega &amp; Bodalla)'!$K$3:$K$19,1))</f>
        <v>0.09</v>
      </c>
      <c r="H24" s="78">
        <f>8*30</f>
        <v>240</v>
      </c>
      <c r="I24" s="72">
        <v>1.4E-2</v>
      </c>
      <c r="L24" s="28"/>
      <c r="N24" s="28"/>
      <c r="O24" s="28"/>
      <c r="P24" s="28"/>
      <c r="Q24" s="28"/>
      <c r="R24" s="28"/>
    </row>
    <row r="25" spans="2:18">
      <c r="C25" s="63" t="s">
        <v>19</v>
      </c>
      <c r="D25" s="75">
        <v>5.14</v>
      </c>
      <c r="E25" s="75">
        <v>12.851000000000001</v>
      </c>
      <c r="F25" s="49">
        <f>INDEX($L$3:$L$19, MATCH(DASHBOARD!$C10*DASHBOARD!$D10*0.01,'Bega (Bega &amp; Bodalla)'!$K$3:$K$19,1))</f>
        <v>4.4999999999999998E-2</v>
      </c>
      <c r="G25" s="49">
        <f>INDEX($M$3:$M$19, MATCH(DASHBOARD!$C10*DASHBOARD!$E10*0.01,'Bega (Bega &amp; Bodalla)'!$K$3:$K$19,1))</f>
        <v>0.09</v>
      </c>
      <c r="H25" s="78">
        <f>8*31</f>
        <v>248</v>
      </c>
      <c r="I25" s="72">
        <v>1.4E-2</v>
      </c>
      <c r="L25" s="28"/>
      <c r="M25" s="28"/>
      <c r="N25" s="28"/>
      <c r="O25" s="28"/>
      <c r="P25" s="28"/>
      <c r="Q25" s="28"/>
      <c r="R25" s="28"/>
    </row>
    <row r="26" spans="2:18">
      <c r="C26" s="63" t="s">
        <v>20</v>
      </c>
      <c r="D26" s="75">
        <v>5.367</v>
      </c>
      <c r="E26" s="75">
        <v>13.419</v>
      </c>
      <c r="F26" s="49">
        <f>INDEX($L$3:$L$19, MATCH(DASHBOARD!$C11*DASHBOARD!$D11*0.01,'Bega (Bega &amp; Bodalla)'!$K$3:$K$19,1))</f>
        <v>4.4999999999999998E-2</v>
      </c>
      <c r="G26" s="49">
        <f>INDEX($M$3:$M$19, MATCH(DASHBOARD!$C11*DASHBOARD!$E11*0.01,'Bega (Bega &amp; Bodalla)'!$K$3:$K$19,1))</f>
        <v>0.09</v>
      </c>
      <c r="H26" s="78">
        <f>8*31</f>
        <v>248</v>
      </c>
      <c r="I26" s="72">
        <v>1.4E-2</v>
      </c>
      <c r="L26" s="28"/>
      <c r="M26" s="28"/>
      <c r="N26" s="28"/>
      <c r="O26" s="28"/>
      <c r="P26" s="28"/>
      <c r="Q26" s="28"/>
      <c r="R26" s="28"/>
    </row>
    <row r="27" spans="2:18">
      <c r="C27" s="63" t="s">
        <v>21</v>
      </c>
      <c r="D27" s="75">
        <v>5.476</v>
      </c>
      <c r="E27" s="75">
        <v>13.691000000000001</v>
      </c>
      <c r="F27" s="49">
        <f>INDEX($L$3:$L$19, MATCH(DASHBOARD!$C12*DASHBOARD!$D12*0.01,'Bega (Bega &amp; Bodalla)'!$K$3:$K$19,1))</f>
        <v>4.4999999999999998E-2</v>
      </c>
      <c r="G27" s="49">
        <f>INDEX($M$3:$M$19, MATCH(DASHBOARD!$C12*DASHBOARD!$E12*0.01,'Bega (Bega &amp; Bodalla)'!$K$3:$K$19,1))</f>
        <v>0.09</v>
      </c>
      <c r="H27" s="78">
        <f>8*28</f>
        <v>224</v>
      </c>
      <c r="I27" s="72">
        <v>1.4E-2</v>
      </c>
      <c r="L27" s="28"/>
      <c r="M27" s="28"/>
      <c r="N27" s="28"/>
      <c r="O27" s="28"/>
      <c r="P27" s="28"/>
      <c r="Q27" s="28"/>
      <c r="R27" s="28"/>
    </row>
    <row r="28" spans="2:18">
      <c r="C28" s="63" t="s">
        <v>22</v>
      </c>
      <c r="D28" s="75">
        <v>5.476</v>
      </c>
      <c r="E28" s="75">
        <v>13.691000000000001</v>
      </c>
      <c r="F28" s="49">
        <f>INDEX($L$3:$L$19, MATCH(DASHBOARD!$C13*DASHBOARD!$D13*0.01,'Bega (Bega &amp; Bodalla)'!$K$3:$K$19,1))</f>
        <v>4.4999999999999998E-2</v>
      </c>
      <c r="G28" s="49">
        <f>INDEX($M$3:$M$19, MATCH(DASHBOARD!$C13*DASHBOARD!$E13*0.01,'Bega (Bega &amp; Bodalla)'!$K$3:$K$19,1))</f>
        <v>0.09</v>
      </c>
      <c r="H28" s="78">
        <f>8*31</f>
        <v>248</v>
      </c>
      <c r="I28" s="72">
        <v>1.4E-2</v>
      </c>
      <c r="L28" s="28"/>
      <c r="M28" s="28"/>
      <c r="N28" s="28"/>
      <c r="O28" s="28"/>
      <c r="P28" s="28"/>
      <c r="Q28" s="28"/>
      <c r="R28" s="28"/>
    </row>
    <row r="29" spans="2:18">
      <c r="C29" s="63" t="s">
        <v>23</v>
      </c>
      <c r="D29" s="75">
        <v>5.7939999999999996</v>
      </c>
      <c r="E29" s="75">
        <v>14.486000000000001</v>
      </c>
      <c r="F29" s="49">
        <f>INDEX($L$3:$L$19, MATCH(DASHBOARD!$C14*DASHBOARD!$D14*0.01,'Bega (Bega &amp; Bodalla)'!$K$3:$K$19,1))</f>
        <v>4.4999999999999998E-2</v>
      </c>
      <c r="G29" s="49">
        <f>INDEX($M$3:$M$19, MATCH(DASHBOARD!$C14*DASHBOARD!$E14*0.01,'Bega (Bega &amp; Bodalla)'!$K$3:$K$19,1))</f>
        <v>0.09</v>
      </c>
      <c r="H29" s="78">
        <f>8*30</f>
        <v>240</v>
      </c>
      <c r="I29" s="72">
        <v>1.4E-2</v>
      </c>
      <c r="L29" s="28"/>
      <c r="M29" s="28"/>
      <c r="N29" s="28"/>
      <c r="O29" s="28"/>
      <c r="P29" s="28"/>
      <c r="Q29" s="28"/>
      <c r="R29" s="28"/>
    </row>
    <row r="30" spans="2:18">
      <c r="C30" s="63" t="s">
        <v>24</v>
      </c>
      <c r="D30" s="75">
        <v>5.7939999999999996</v>
      </c>
      <c r="E30" s="75">
        <v>14.486000000000001</v>
      </c>
      <c r="F30" s="49">
        <f>INDEX($L$3:$L$19, MATCH(DASHBOARD!$C15*DASHBOARD!$D15*0.01,'Bega (Bega &amp; Bodalla)'!$K$3:$K$19,1))</f>
        <v>4.4999999999999998E-2</v>
      </c>
      <c r="G30" s="49">
        <f>INDEX($M$3:$M$19, MATCH(DASHBOARD!$C15*DASHBOARD!$E15*0.01,'Bega (Bega &amp; Bodalla)'!$K$3:$K$19,1))</f>
        <v>0.09</v>
      </c>
      <c r="H30" s="78">
        <f>8*31</f>
        <v>248</v>
      </c>
      <c r="I30" s="72">
        <v>1.4E-2</v>
      </c>
      <c r="L30" s="28"/>
      <c r="M30" s="28"/>
      <c r="N30" s="28"/>
      <c r="O30" s="28"/>
      <c r="P30" s="28"/>
      <c r="Q30" s="28"/>
      <c r="R30" s="28"/>
    </row>
    <row r="31" spans="2:18">
      <c r="C31" s="65" t="s">
        <v>25</v>
      </c>
      <c r="D31" s="79">
        <v>6.3029999999999999</v>
      </c>
      <c r="E31" s="79">
        <v>15.757</v>
      </c>
      <c r="F31" s="49">
        <f>INDEX($L$3:$L$19, MATCH(DASHBOARD!$C16*DASHBOARD!$D16*0.01,'Bega (Bega &amp; Bodalla)'!$K$3:$K$19,1))</f>
        <v>4.4999999999999998E-2</v>
      </c>
      <c r="G31" s="49">
        <f>INDEX($M$3:$M$19, MATCH(DASHBOARD!$C16*DASHBOARD!$E16*0.01,'Bega (Bega &amp; Bodalla)'!$K$3:$K$19,1))</f>
        <v>0.09</v>
      </c>
      <c r="H31" s="80">
        <f>8*31</f>
        <v>248</v>
      </c>
      <c r="I31" s="73">
        <v>1.4E-2</v>
      </c>
      <c r="L31" s="28"/>
      <c r="M31" s="28"/>
      <c r="N31" s="28"/>
      <c r="O31" s="28"/>
      <c r="P31" s="28"/>
      <c r="Q31" s="28"/>
      <c r="R31" s="28"/>
    </row>
    <row r="32" spans="2:18">
      <c r="L32" s="28"/>
      <c r="M32" s="28"/>
      <c r="N32" s="28"/>
      <c r="O32" s="28"/>
      <c r="P32" s="28"/>
      <c r="Q32" s="28"/>
      <c r="R32" s="28"/>
    </row>
    <row r="33" spans="12:18">
      <c r="L33" s="28"/>
      <c r="M33" s="28"/>
      <c r="N33" s="28"/>
      <c r="O33" s="28"/>
      <c r="P33" s="28"/>
      <c r="Q33" s="28"/>
      <c r="R33" s="28"/>
    </row>
    <row r="34" spans="12:18">
      <c r="L34" s="28"/>
      <c r="M34" s="28"/>
      <c r="N34" s="28"/>
      <c r="O34" s="28"/>
      <c r="P34" s="28"/>
      <c r="Q34" s="28"/>
      <c r="R34" s="28"/>
    </row>
    <row r="35" spans="12:18">
      <c r="L35" s="28"/>
      <c r="M35" s="28"/>
      <c r="N35" s="28"/>
      <c r="O35" s="28"/>
      <c r="P35" s="28"/>
      <c r="Q35" s="28"/>
      <c r="R35" s="28"/>
    </row>
    <row r="36" spans="12:18">
      <c r="L36" s="28"/>
      <c r="M36" s="28"/>
      <c r="N36" s="28"/>
      <c r="O36" s="28"/>
      <c r="P36" s="28"/>
      <c r="Q36" s="28"/>
      <c r="R36" s="28"/>
    </row>
    <row r="37" spans="12:18">
      <c r="L37" s="28"/>
      <c r="M37" s="28"/>
      <c r="N37" s="28"/>
      <c r="O37" s="28"/>
      <c r="P37" s="28"/>
      <c r="Q37" s="28"/>
      <c r="R37" s="28"/>
    </row>
    <row r="38" spans="12:18">
      <c r="L38" s="28"/>
      <c r="M38" s="28"/>
      <c r="N38" s="28"/>
      <c r="O38" s="28"/>
      <c r="P38" s="28"/>
      <c r="Q38" s="28"/>
      <c r="R38" s="28"/>
    </row>
    <row r="39" spans="12:18">
      <c r="L39" s="28"/>
      <c r="M39" s="28"/>
      <c r="N39" s="28"/>
      <c r="O39" s="28"/>
      <c r="P39" s="28"/>
      <c r="Q39" s="28"/>
      <c r="R39" s="28"/>
    </row>
    <row r="40" spans="12:18">
      <c r="L40" s="28"/>
      <c r="M40" s="28"/>
      <c r="N40" s="28"/>
      <c r="O40" s="28"/>
      <c r="P40" s="28"/>
      <c r="Q40" s="28"/>
      <c r="R40" s="28"/>
    </row>
    <row r="41" spans="12:18">
      <c r="L41" s="28"/>
      <c r="M41" s="28"/>
      <c r="N41" s="28"/>
      <c r="O41" s="28"/>
      <c r="P41" s="28"/>
      <c r="Q41" s="28"/>
      <c r="R41" s="28"/>
    </row>
    <row r="42" spans="12:18">
      <c r="L42" s="28"/>
      <c r="M42" s="28"/>
      <c r="N42" s="28"/>
      <c r="O42" s="28"/>
      <c r="P42" s="28"/>
      <c r="Q42" s="28"/>
      <c r="R42" s="28"/>
    </row>
    <row r="43" spans="12:18">
      <c r="L43" s="28"/>
      <c r="M43" s="28"/>
      <c r="N43" s="28"/>
      <c r="O43" s="28"/>
      <c r="P43" s="28"/>
      <c r="Q43" s="28"/>
      <c r="R43" s="28"/>
    </row>
    <row r="44" spans="12:18">
      <c r="L44" s="28"/>
      <c r="M44" s="28"/>
      <c r="N44" s="28"/>
      <c r="O44" s="28"/>
      <c r="P44" s="28"/>
      <c r="Q44" s="28"/>
      <c r="R44" s="28"/>
    </row>
    <row r="45" spans="12:18">
      <c r="L45" s="28"/>
      <c r="M45" s="28"/>
      <c r="N45" s="28"/>
      <c r="O45" s="28"/>
      <c r="P45" s="28"/>
      <c r="Q45" s="28"/>
      <c r="R45" s="28"/>
    </row>
    <row r="46" spans="12:18">
      <c r="L46" s="28"/>
      <c r="M46" s="28"/>
      <c r="N46" s="28"/>
      <c r="O46" s="28"/>
      <c r="P46" s="28"/>
      <c r="Q46" s="28"/>
      <c r="R46" s="28"/>
    </row>
    <row r="47" spans="12:18">
      <c r="L47" s="28"/>
      <c r="M47" s="28"/>
      <c r="N47" s="28"/>
      <c r="O47" s="28"/>
      <c r="P47" s="28"/>
      <c r="Q47" s="28"/>
      <c r="R47" s="28"/>
    </row>
    <row r="48" spans="12:18">
      <c r="L48" s="28"/>
      <c r="M48" s="28"/>
      <c r="N48" s="28"/>
      <c r="O48" s="28"/>
      <c r="P48" s="28"/>
      <c r="Q48" s="28"/>
      <c r="R48" s="28"/>
    </row>
    <row r="49" spans="12:18">
      <c r="L49" s="28"/>
      <c r="M49" s="28"/>
      <c r="N49" s="28"/>
      <c r="O49" s="28"/>
      <c r="P49" s="28"/>
      <c r="Q49" s="28"/>
      <c r="R49" s="28"/>
    </row>
    <row r="50" spans="12:18">
      <c r="L50" s="28"/>
      <c r="M50" s="28"/>
      <c r="N50" s="28"/>
      <c r="O50" s="28"/>
      <c r="P50" s="28"/>
      <c r="Q50" s="28"/>
      <c r="R50" s="28"/>
    </row>
    <row r="51" spans="12:18">
      <c r="L51" s="28"/>
      <c r="M51" s="28"/>
      <c r="N51" s="28"/>
      <c r="O51" s="28"/>
      <c r="P51" s="28"/>
      <c r="Q51" s="28"/>
      <c r="R51" s="28"/>
    </row>
    <row r="52" spans="12:18">
      <c r="L52" s="28"/>
      <c r="M52" s="28"/>
      <c r="N52" s="28"/>
      <c r="O52" s="28"/>
      <c r="P52" s="28"/>
      <c r="Q52" s="28"/>
      <c r="R52" s="28"/>
    </row>
    <row r="53" spans="12:18">
      <c r="L53" s="28"/>
      <c r="M53" s="28"/>
      <c r="N53" s="28"/>
      <c r="O53" s="28"/>
      <c r="P53" s="28"/>
      <c r="Q53" s="28"/>
      <c r="R53" s="28"/>
    </row>
    <row r="54" spans="12:18">
      <c r="L54" s="28"/>
      <c r="M54" s="28"/>
      <c r="N54" s="28"/>
      <c r="O54" s="28"/>
      <c r="P54" s="28"/>
      <c r="Q54" s="28"/>
      <c r="R54" s="28"/>
    </row>
    <row r="55" spans="12:18">
      <c r="L55" s="28"/>
      <c r="M55" s="28"/>
      <c r="N55" s="28"/>
      <c r="O55" s="28"/>
      <c r="P55" s="28"/>
      <c r="Q55" s="28"/>
      <c r="R55" s="28"/>
    </row>
    <row r="56" spans="12:18">
      <c r="L56" s="28"/>
      <c r="M56" s="28"/>
      <c r="N56" s="28"/>
      <c r="O56" s="28"/>
      <c r="P56" s="28"/>
      <c r="Q56" s="28"/>
      <c r="R56" s="28"/>
    </row>
    <row r="57" spans="12:18">
      <c r="L57" s="28"/>
      <c r="M57" s="28"/>
      <c r="N57" s="28"/>
      <c r="O57" s="28"/>
      <c r="P57" s="28"/>
      <c r="Q57" s="28"/>
      <c r="R57" s="28"/>
    </row>
    <row r="58" spans="12:18">
      <c r="L58" s="28"/>
      <c r="M58" s="28"/>
      <c r="N58" s="28"/>
      <c r="O58" s="28"/>
      <c r="P58" s="28"/>
      <c r="Q58" s="28"/>
      <c r="R58" s="28"/>
    </row>
    <row r="59" spans="12:18">
      <c r="L59" s="28"/>
      <c r="M59" s="28"/>
      <c r="N59" s="28"/>
      <c r="O59" s="28"/>
      <c r="P59" s="28"/>
      <c r="Q59" s="28"/>
      <c r="R59" s="28"/>
    </row>
    <row r="60" spans="12:18">
      <c r="L60" s="28"/>
      <c r="M60" s="28"/>
      <c r="N60" s="28"/>
      <c r="O60" s="28"/>
      <c r="P60" s="28"/>
      <c r="Q60" s="28"/>
      <c r="R60" s="28"/>
    </row>
    <row r="61" spans="12:18">
      <c r="L61" s="28"/>
      <c r="M61" s="28"/>
      <c r="N61" s="28"/>
      <c r="O61" s="28"/>
      <c r="P61" s="28"/>
      <c r="Q61" s="28"/>
      <c r="R61" s="28"/>
    </row>
    <row r="62" spans="12:18">
      <c r="L62" s="28"/>
      <c r="M62" s="28"/>
      <c r="N62" s="28"/>
      <c r="O62" s="28"/>
      <c r="P62" s="28"/>
      <c r="Q62" s="28"/>
      <c r="R62" s="28"/>
    </row>
    <row r="63" spans="12:18">
      <c r="L63" s="28"/>
      <c r="M63" s="28"/>
      <c r="N63" s="28"/>
      <c r="O63" s="28"/>
      <c r="P63" s="28"/>
      <c r="Q63" s="28"/>
      <c r="R63" s="28"/>
    </row>
    <row r="64" spans="12:18">
      <c r="L64" s="28"/>
      <c r="M64" s="28"/>
      <c r="N64" s="28"/>
      <c r="O64" s="28"/>
      <c r="P64" s="28"/>
      <c r="Q64" s="28"/>
      <c r="R64" s="28"/>
    </row>
    <row r="65" spans="12:18">
      <c r="L65" s="28"/>
      <c r="M65" s="28"/>
      <c r="N65" s="28"/>
      <c r="O65" s="28"/>
      <c r="P65" s="28"/>
      <c r="Q65" s="28"/>
      <c r="R65" s="28"/>
    </row>
  </sheetData>
  <sheetProtection algorithmName="SHA-512" hashValue="6MaOchu41KPDMJb9zhTjZ6CEwkpJYxFEZiiarlW9V1ZZnbgD0HP+1ZtO/P/gZDUEZJ8gNHuThj1RFANWY4mzig==" saltValue="ZSNFy7tBnLUdfr1WA6Rya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33374-97B9-4170-8E1F-F6FAFC3223AA}">
  <dimension ref="A1:N45"/>
  <sheetViews>
    <sheetView topLeftCell="A16" workbookViewId="0">
      <selection activeCell="F43" sqref="F43"/>
    </sheetView>
  </sheetViews>
  <sheetFormatPr defaultRowHeight="15"/>
  <cols>
    <col min="4" max="4" width="20.140625" customWidth="1"/>
    <col min="5" max="5" width="19.85546875" customWidth="1"/>
    <col min="6" max="6" width="40.140625" customWidth="1"/>
    <col min="7" max="7" width="38.42578125" customWidth="1"/>
    <col min="8" max="8" width="15.140625" customWidth="1"/>
    <col min="10" max="10" width="11.28515625" bestFit="1" customWidth="1"/>
    <col min="11" max="11" width="19.42578125" bestFit="1" customWidth="1"/>
    <col min="12" max="12" width="18" bestFit="1" customWidth="1"/>
    <col min="13" max="13" width="9.5703125" bestFit="1" customWidth="1"/>
    <col min="14" max="14" width="14.7109375" customWidth="1"/>
    <col min="15" max="15" width="18.5703125" customWidth="1"/>
    <col min="16" max="16" width="18" bestFit="1" customWidth="1"/>
  </cols>
  <sheetData>
    <row r="1" spans="1:14" ht="15.75">
      <c r="A1" s="23" t="s">
        <v>243</v>
      </c>
    </row>
    <row r="2" spans="1:14" ht="15.75" thickBot="1">
      <c r="K2" s="1"/>
      <c r="L2" s="1"/>
      <c r="M2" s="1"/>
      <c r="N2" s="1"/>
    </row>
    <row r="3" spans="1:14" ht="14.25" customHeight="1">
      <c r="B3" s="136" t="s">
        <v>244</v>
      </c>
      <c r="C3" s="61" t="s">
        <v>7</v>
      </c>
      <c r="D3" s="71" t="s">
        <v>224</v>
      </c>
      <c r="E3" s="71" t="s">
        <v>225</v>
      </c>
      <c r="F3" s="71" t="s">
        <v>234</v>
      </c>
      <c r="G3" s="71" t="s">
        <v>235</v>
      </c>
      <c r="H3" s="62" t="s">
        <v>236</v>
      </c>
      <c r="J3" s="57" t="s">
        <v>238</v>
      </c>
      <c r="K3" s="60" t="s">
        <v>239</v>
      </c>
      <c r="L3" s="58" t="s">
        <v>240</v>
      </c>
      <c r="M3" s="2"/>
      <c r="N3" s="2"/>
    </row>
    <row r="4" spans="1:14" ht="14.25" customHeight="1">
      <c r="C4" s="63" t="s">
        <v>13</v>
      </c>
      <c r="D4" s="75">
        <v>5.3879999999999999</v>
      </c>
      <c r="E4" s="75">
        <v>10.775</v>
      </c>
      <c r="F4" s="49">
        <f>INDEX($K$3:$K$22, MATCH(DASHBOARD!$C5*DASHBOARD!$D5*0.01,$J$3:$J$22,1))</f>
        <v>0.06</v>
      </c>
      <c r="G4" s="49">
        <f>INDEX($L$3:$L$22, MATCH(DASHBOARD!$C5*DASHBOARD!$E5*0.01,$J$3:$J$22,1))</f>
        <v>0.09</v>
      </c>
      <c r="H4" s="72">
        <f>8*31</f>
        <v>248</v>
      </c>
      <c r="J4" s="52">
        <v>0</v>
      </c>
      <c r="K4" s="51">
        <v>1.7999999999999999E-2</v>
      </c>
      <c r="L4" s="76">
        <v>3.5999999999999997E-2</v>
      </c>
      <c r="M4" s="28"/>
    </row>
    <row r="5" spans="1:14" ht="12" customHeight="1">
      <c r="C5" s="63" t="s">
        <v>15</v>
      </c>
      <c r="D5" s="75">
        <v>5.3879999999999999</v>
      </c>
      <c r="E5" s="75">
        <v>10.775</v>
      </c>
      <c r="F5" s="49">
        <f>INDEX($K$3:$K$22, MATCH(DASHBOARD!$C6*DASHBOARD!$D6*0.01,$J$3:$J$22,1))</f>
        <v>0.06</v>
      </c>
      <c r="G5" s="49">
        <f>INDEX($L$3:$L$22, MATCH(DASHBOARD!$C6*DASHBOARD!$E6*0.01,$J$3:$J$22,1))</f>
        <v>0.09</v>
      </c>
      <c r="H5" s="72">
        <f>8*31</f>
        <v>248</v>
      </c>
      <c r="J5" s="52">
        <v>1501</v>
      </c>
      <c r="K5" s="51">
        <v>0.03</v>
      </c>
      <c r="L5" s="76">
        <v>0.06</v>
      </c>
      <c r="M5" s="28"/>
    </row>
    <row r="6" spans="1:14">
      <c r="C6" s="63" t="s">
        <v>16</v>
      </c>
      <c r="D6" s="75">
        <v>5.0359999999999996</v>
      </c>
      <c r="E6" s="75">
        <v>10.071</v>
      </c>
      <c r="F6" s="49">
        <f>INDEX($K$3:$K$22, MATCH(DASHBOARD!$C7*DASHBOARD!$D7*0.01,$J$3:$J$22,1))</f>
        <v>0.06</v>
      </c>
      <c r="G6" s="49">
        <f>INDEX($L$3:$L$22, MATCH(DASHBOARD!$C7*DASHBOARD!$E7*0.01,$J$3:$J$22,1))</f>
        <v>0.09</v>
      </c>
      <c r="H6" s="72">
        <f>8*30</f>
        <v>240</v>
      </c>
      <c r="J6" s="52">
        <v>2501</v>
      </c>
      <c r="K6" s="51">
        <v>4.4999999999999998E-2</v>
      </c>
      <c r="L6" s="76">
        <v>0.09</v>
      </c>
      <c r="M6" s="28"/>
    </row>
    <row r="7" spans="1:14">
      <c r="C7" s="63" t="s">
        <v>17</v>
      </c>
      <c r="D7" s="75">
        <v>5.0359999999999996</v>
      </c>
      <c r="E7" s="75">
        <v>10.071</v>
      </c>
      <c r="F7" s="49">
        <f>INDEX($K$3:$K$22, MATCH(DASHBOARD!$C8*DASHBOARD!$D8*0.01,$J$3:$J$22,1))</f>
        <v>0.06</v>
      </c>
      <c r="G7" s="49">
        <f>INDEX($L$3:$L$22, MATCH(DASHBOARD!$C8*DASHBOARD!$E8*0.01,$J$3:$J$22,1))</f>
        <v>0.09</v>
      </c>
      <c r="H7" s="72">
        <f>8*31</f>
        <v>248</v>
      </c>
      <c r="J7" s="52">
        <v>3501</v>
      </c>
      <c r="K7" s="51">
        <v>0.06</v>
      </c>
      <c r="L7" s="76">
        <v>0.12</v>
      </c>
      <c r="M7" s="28"/>
    </row>
    <row r="8" spans="1:14">
      <c r="C8" s="63" t="s">
        <v>18</v>
      </c>
      <c r="D8" s="75">
        <v>5.0359999999999996</v>
      </c>
      <c r="E8" s="75">
        <v>10.071</v>
      </c>
      <c r="F8" s="49">
        <f>INDEX($K$3:$K$22, MATCH(DASHBOARD!$C9*DASHBOARD!$D9*0.01,$J$3:$J$22,1))</f>
        <v>0.06</v>
      </c>
      <c r="G8" s="49">
        <f>INDEX($L$3:$L$22, MATCH(DASHBOARD!$C9*DASHBOARD!$E9*0.01,$J$3:$J$22,1))</f>
        <v>0.09</v>
      </c>
      <c r="H8" s="72">
        <f>8*30</f>
        <v>240</v>
      </c>
      <c r="J8" s="52">
        <v>5501</v>
      </c>
      <c r="K8" s="51">
        <v>0.09</v>
      </c>
      <c r="L8" s="76">
        <v>0.18</v>
      </c>
      <c r="M8" s="28"/>
    </row>
    <row r="9" spans="1:14">
      <c r="C9" s="63" t="s">
        <v>19</v>
      </c>
      <c r="D9" s="75">
        <v>5.3879999999999999</v>
      </c>
      <c r="E9" s="75">
        <v>10.775</v>
      </c>
      <c r="F9" s="49">
        <f>INDEX($K$3:$K$22, MATCH(DASHBOARD!$C10*DASHBOARD!$D10*0.01,$J$3:$J$22,1))</f>
        <v>0.06</v>
      </c>
      <c r="G9" s="49">
        <f>INDEX($L$3:$L$22, MATCH(DASHBOARD!$C10*DASHBOARD!$E10*0.01,$J$3:$J$22,1))</f>
        <v>0.09</v>
      </c>
      <c r="H9" s="72">
        <f>8*31</f>
        <v>248</v>
      </c>
      <c r="J9" s="52">
        <v>7501</v>
      </c>
      <c r="K9" s="51">
        <v>0.125</v>
      </c>
      <c r="L9" s="76">
        <v>0.25</v>
      </c>
    </row>
    <row r="10" spans="1:14">
      <c r="C10" s="63" t="s">
        <v>20</v>
      </c>
      <c r="D10" s="75">
        <v>5.3879999999999999</v>
      </c>
      <c r="E10" s="75">
        <v>10.775</v>
      </c>
      <c r="F10" s="49">
        <f>INDEX($K$3:$K$22, MATCH(DASHBOARD!$C11*DASHBOARD!$D11*0.01,$J$3:$J$22,1))</f>
        <v>0.06</v>
      </c>
      <c r="G10" s="49">
        <f>INDEX($L$3:$L$22, MATCH(DASHBOARD!$C11*DASHBOARD!$E11*0.01,$J$3:$J$22,1))</f>
        <v>0.09</v>
      </c>
      <c r="H10" s="72">
        <f>8*31</f>
        <v>248</v>
      </c>
      <c r="J10" s="52">
        <v>10001</v>
      </c>
      <c r="K10" s="51">
        <v>0.16500000000000001</v>
      </c>
      <c r="L10" s="76">
        <v>0.33</v>
      </c>
    </row>
    <row r="11" spans="1:14">
      <c r="C11" s="63" t="s">
        <v>21</v>
      </c>
      <c r="D11" s="75">
        <v>5.3879999999999999</v>
      </c>
      <c r="E11" s="75">
        <v>10.775</v>
      </c>
      <c r="F11" s="49">
        <f>INDEX($K$3:$K$22, MATCH(DASHBOARD!$C12*DASHBOARD!$D12*0.01,$J$3:$J$22,1))</f>
        <v>0.06</v>
      </c>
      <c r="G11" s="49">
        <f>INDEX($L$3:$L$22, MATCH(DASHBOARD!$C12*DASHBOARD!$E12*0.01,$J$3:$J$22,1))</f>
        <v>0.09</v>
      </c>
      <c r="H11" s="72">
        <f>8*28</f>
        <v>224</v>
      </c>
      <c r="J11" s="52">
        <v>12501</v>
      </c>
      <c r="K11" s="51">
        <v>0.20499999999999999</v>
      </c>
      <c r="L11" s="76">
        <v>0.41</v>
      </c>
    </row>
    <row r="12" spans="1:14">
      <c r="C12" s="63" t="s">
        <v>22</v>
      </c>
      <c r="D12" s="75">
        <v>5.3879999999999999</v>
      </c>
      <c r="E12" s="75">
        <v>10.775</v>
      </c>
      <c r="F12" s="49">
        <f>INDEX($K$3:$K$22, MATCH(DASHBOARD!$C13*DASHBOARD!$D13*0.01,$J$3:$J$22,1))</f>
        <v>0.06</v>
      </c>
      <c r="G12" s="49">
        <f>INDEX($L$3:$L$22, MATCH(DASHBOARD!$C13*DASHBOARD!$E13*0.01,$J$3:$J$22,1))</f>
        <v>0.09</v>
      </c>
      <c r="H12" s="72">
        <f>8*31</f>
        <v>248</v>
      </c>
      <c r="J12" s="52">
        <v>15001</v>
      </c>
      <c r="K12" s="51">
        <v>0.245</v>
      </c>
      <c r="L12" s="76">
        <v>0.49</v>
      </c>
    </row>
    <row r="13" spans="1:14">
      <c r="C13" s="63" t="s">
        <v>23</v>
      </c>
      <c r="D13" s="75">
        <v>5.3879999999999999</v>
      </c>
      <c r="E13" s="75">
        <v>10.775</v>
      </c>
      <c r="F13" s="49">
        <f>INDEX($K$3:$K$22, MATCH(DASHBOARD!$C14*DASHBOARD!$D14*0.01,$J$3:$J$22,1))</f>
        <v>0.06</v>
      </c>
      <c r="G13" s="49">
        <f>INDEX($L$3:$L$22, MATCH(DASHBOARD!$C14*DASHBOARD!$E14*0.01,$J$3:$J$22,1))</f>
        <v>0.09</v>
      </c>
      <c r="H13" s="72">
        <f>8*30</f>
        <v>240</v>
      </c>
      <c r="J13" s="52">
        <v>17501</v>
      </c>
      <c r="K13" s="51">
        <v>0.28000000000000003</v>
      </c>
      <c r="L13" s="76">
        <v>0.56000000000000005</v>
      </c>
    </row>
    <row r="14" spans="1:14">
      <c r="C14" s="63" t="s">
        <v>24</v>
      </c>
      <c r="D14" s="75">
        <v>5.3879999999999999</v>
      </c>
      <c r="E14" s="75">
        <v>10.775</v>
      </c>
      <c r="F14" s="49">
        <f>INDEX($K$3:$K$22, MATCH(DASHBOARD!$C15*DASHBOARD!$D15*0.01,$J$3:$J$22,1))</f>
        <v>0.06</v>
      </c>
      <c r="G14" s="49">
        <f>INDEX($L$3:$L$22, MATCH(DASHBOARD!$C15*DASHBOARD!$E15*0.01,$J$3:$J$22,1))</f>
        <v>0.09</v>
      </c>
      <c r="H14" s="72">
        <f>8*31</f>
        <v>248</v>
      </c>
      <c r="J14" s="52">
        <v>20001</v>
      </c>
      <c r="K14" s="51">
        <v>0.3</v>
      </c>
      <c r="L14" s="76">
        <v>0.6</v>
      </c>
    </row>
    <row r="15" spans="1:14" ht="15.75" thickBot="1">
      <c r="C15" s="65" t="s">
        <v>25</v>
      </c>
      <c r="D15" s="79">
        <v>5.3879999999999999</v>
      </c>
      <c r="E15" s="79">
        <v>10.775</v>
      </c>
      <c r="F15" s="74">
        <f>INDEX($K$3:$K$22, MATCH(DASHBOARD!$C16*DASHBOARD!$D16*0.01,$J$3:$J$22,1))</f>
        <v>0.06</v>
      </c>
      <c r="G15" s="74">
        <f>INDEX($L$3:$L$22, MATCH(DASHBOARD!$C16*DASHBOARD!$E16*0.01,$J$3:$J$22,1))</f>
        <v>0.09</v>
      </c>
      <c r="H15" s="73">
        <f>8*31</f>
        <v>248</v>
      </c>
      <c r="J15" s="52">
        <v>25001</v>
      </c>
      <c r="K15" s="51">
        <v>0.32</v>
      </c>
      <c r="L15" s="76">
        <v>0.64</v>
      </c>
    </row>
    <row r="16" spans="1:14">
      <c r="J16" s="52">
        <v>30001</v>
      </c>
      <c r="K16" s="51">
        <v>0.34499999999999997</v>
      </c>
      <c r="L16" s="76">
        <v>0.69</v>
      </c>
    </row>
    <row r="17" spans="2:12">
      <c r="C17" t="s">
        <v>26</v>
      </c>
      <c r="H17" s="34" t="s">
        <v>241</v>
      </c>
      <c r="J17" s="52">
        <v>40001</v>
      </c>
      <c r="K17" s="51">
        <v>0.375</v>
      </c>
      <c r="L17" s="76">
        <v>0.75</v>
      </c>
    </row>
    <row r="18" spans="2:12">
      <c r="J18" s="52">
        <v>50001</v>
      </c>
      <c r="K18" s="51">
        <v>0.41</v>
      </c>
      <c r="L18" s="76">
        <v>0.82</v>
      </c>
    </row>
    <row r="19" spans="2:12">
      <c r="B19" t="s">
        <v>245</v>
      </c>
      <c r="C19" s="61" t="s">
        <v>7</v>
      </c>
      <c r="D19" s="71" t="s">
        <v>224</v>
      </c>
      <c r="E19" s="71" t="s">
        <v>225</v>
      </c>
      <c r="J19" s="52">
        <v>60001</v>
      </c>
      <c r="K19" s="51">
        <v>0.43</v>
      </c>
      <c r="L19" s="76">
        <v>0.86</v>
      </c>
    </row>
    <row r="20" spans="2:12">
      <c r="C20" s="63" t="s">
        <v>13</v>
      </c>
      <c r="D20" s="75">
        <v>5.484</v>
      </c>
      <c r="E20" s="75">
        <v>10.968</v>
      </c>
      <c r="J20" s="52">
        <v>70001</v>
      </c>
      <c r="K20" s="51">
        <v>0.44</v>
      </c>
      <c r="L20" s="76">
        <v>0.88</v>
      </c>
    </row>
    <row r="21" spans="2:12">
      <c r="C21" s="63" t="s">
        <v>15</v>
      </c>
      <c r="D21" s="75">
        <v>5.484</v>
      </c>
      <c r="E21" s="75">
        <v>10.968</v>
      </c>
      <c r="J21" s="52">
        <v>80001</v>
      </c>
      <c r="K21" s="51">
        <v>0.44500000000000001</v>
      </c>
      <c r="L21" s="76">
        <v>0.89</v>
      </c>
    </row>
    <row r="22" spans="2:12">
      <c r="C22" s="63" t="s">
        <v>16</v>
      </c>
      <c r="D22" s="75">
        <v>5.484</v>
      </c>
      <c r="E22" s="75">
        <v>10.968</v>
      </c>
      <c r="J22" s="54">
        <v>100000</v>
      </c>
      <c r="K22" s="55">
        <v>0.45</v>
      </c>
      <c r="L22" s="77">
        <v>0.9</v>
      </c>
    </row>
    <row r="23" spans="2:12">
      <c r="C23" s="63" t="s">
        <v>17</v>
      </c>
      <c r="D23" s="75">
        <v>5.484</v>
      </c>
      <c r="E23" s="75">
        <v>10.968</v>
      </c>
    </row>
    <row r="24" spans="2:12">
      <c r="C24" s="63" t="s">
        <v>18</v>
      </c>
      <c r="D24" s="75">
        <v>5.484</v>
      </c>
      <c r="E24" s="75">
        <v>10.968</v>
      </c>
    </row>
    <row r="25" spans="2:12">
      <c r="C25" s="63" t="s">
        <v>19</v>
      </c>
      <c r="D25" s="75">
        <v>5.484</v>
      </c>
      <c r="E25" s="75">
        <v>10.968</v>
      </c>
    </row>
    <row r="26" spans="2:12">
      <c r="C26" s="63" t="s">
        <v>20</v>
      </c>
      <c r="D26" s="75">
        <v>5.484</v>
      </c>
      <c r="E26" s="75">
        <v>10.968</v>
      </c>
    </row>
    <row r="27" spans="2:12">
      <c r="C27" s="63" t="s">
        <v>21</v>
      </c>
      <c r="D27" s="75">
        <v>5.484</v>
      </c>
      <c r="E27" s="75">
        <v>10.968</v>
      </c>
    </row>
    <row r="28" spans="2:12">
      <c r="C28" s="63" t="s">
        <v>22</v>
      </c>
      <c r="D28" s="75">
        <v>5.484</v>
      </c>
      <c r="E28" s="75">
        <v>10.968</v>
      </c>
    </row>
    <row r="29" spans="2:12">
      <c r="C29" s="63" t="s">
        <v>23</v>
      </c>
      <c r="D29" s="75">
        <v>5.484</v>
      </c>
      <c r="E29" s="75">
        <v>10.968</v>
      </c>
    </row>
    <row r="30" spans="2:12">
      <c r="C30" s="63" t="s">
        <v>24</v>
      </c>
      <c r="D30" s="75">
        <v>5.484</v>
      </c>
      <c r="E30" s="75">
        <v>10.968</v>
      </c>
    </row>
    <row r="31" spans="2:12">
      <c r="C31" s="65" t="s">
        <v>25</v>
      </c>
      <c r="D31" s="75">
        <v>5.484</v>
      </c>
      <c r="E31" s="75">
        <v>10.968</v>
      </c>
    </row>
    <row r="33" spans="2:5">
      <c r="B33" t="s">
        <v>246</v>
      </c>
      <c r="C33" s="61" t="s">
        <v>7</v>
      </c>
      <c r="D33" s="71" t="s">
        <v>224</v>
      </c>
      <c r="E33" s="71" t="s">
        <v>225</v>
      </c>
    </row>
    <row r="34" spans="2:5">
      <c r="C34" s="63" t="s">
        <v>13</v>
      </c>
      <c r="D34" s="75">
        <v>7.95</v>
      </c>
      <c r="E34" s="75">
        <v>7.95</v>
      </c>
    </row>
    <row r="35" spans="2:5">
      <c r="C35" s="63" t="s">
        <v>15</v>
      </c>
      <c r="D35" s="75">
        <v>7.95</v>
      </c>
      <c r="E35" s="75">
        <v>7.95</v>
      </c>
    </row>
    <row r="36" spans="2:5">
      <c r="C36" s="63" t="s">
        <v>16</v>
      </c>
      <c r="D36" s="75">
        <v>7.95</v>
      </c>
      <c r="E36" s="75">
        <v>7.95</v>
      </c>
    </row>
    <row r="37" spans="2:5">
      <c r="C37" s="63" t="s">
        <v>17</v>
      </c>
      <c r="D37" s="75">
        <v>7.95</v>
      </c>
      <c r="E37" s="75">
        <v>7.95</v>
      </c>
    </row>
    <row r="38" spans="2:5">
      <c r="C38" s="63" t="s">
        <v>18</v>
      </c>
      <c r="D38" s="75">
        <v>7.95</v>
      </c>
      <c r="E38" s="75">
        <v>7.95</v>
      </c>
    </row>
    <row r="39" spans="2:5">
      <c r="C39" s="63" t="s">
        <v>19</v>
      </c>
      <c r="D39" s="75">
        <v>7.95</v>
      </c>
      <c r="E39" s="75">
        <v>7.95</v>
      </c>
    </row>
    <row r="40" spans="2:5">
      <c r="C40" s="63" t="s">
        <v>20</v>
      </c>
      <c r="D40" s="75">
        <v>7.95</v>
      </c>
      <c r="E40" s="75">
        <v>7.95</v>
      </c>
    </row>
    <row r="41" spans="2:5">
      <c r="C41" s="63" t="s">
        <v>21</v>
      </c>
      <c r="D41" s="75">
        <v>7.95</v>
      </c>
      <c r="E41" s="75">
        <v>7.95</v>
      </c>
    </row>
    <row r="42" spans="2:5">
      <c r="C42" s="63" t="s">
        <v>22</v>
      </c>
      <c r="D42" s="75">
        <v>7.95</v>
      </c>
      <c r="E42" s="75">
        <v>7.95</v>
      </c>
    </row>
    <row r="43" spans="2:5">
      <c r="C43" s="63" t="s">
        <v>23</v>
      </c>
      <c r="D43" s="75">
        <v>7.95</v>
      </c>
      <c r="E43" s="75">
        <v>7.95</v>
      </c>
    </row>
    <row r="44" spans="2:5">
      <c r="C44" s="63" t="s">
        <v>24</v>
      </c>
      <c r="D44" s="75">
        <v>7.95</v>
      </c>
      <c r="E44" s="75">
        <v>7.95</v>
      </c>
    </row>
    <row r="45" spans="2:5">
      <c r="C45" s="65" t="s">
        <v>25</v>
      </c>
      <c r="D45" s="75">
        <v>7.95</v>
      </c>
      <c r="E45" s="75">
        <v>7.95</v>
      </c>
    </row>
  </sheetData>
  <sheetProtection algorithmName="SHA-512" hashValue="jM+2AdogM8zGtTVQAT0E+EkjTiF65B8vtWFwyKw6pQ+9vHq1dF1ttu9GYBDndLFbOqpYnU5zYT2oStQJh5kvjQ==" saltValue="eFd9NhvH8Cy22hFK7HtkpA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7C79-623E-4091-A46D-BEB548AFEE3C}">
  <dimension ref="A1:N46"/>
  <sheetViews>
    <sheetView topLeftCell="A18" workbookViewId="0">
      <selection activeCell="E35" sqref="E35:E46"/>
    </sheetView>
  </sheetViews>
  <sheetFormatPr defaultRowHeight="15"/>
  <cols>
    <col min="4" max="4" width="19.85546875" customWidth="1"/>
    <col min="5" max="5" width="18.28515625" customWidth="1"/>
    <col min="6" max="6" width="39.85546875" customWidth="1"/>
    <col min="7" max="7" width="37.7109375" customWidth="1"/>
    <col min="8" max="8" width="14.7109375" customWidth="1"/>
    <col min="10" max="10" width="11.28515625" bestFit="1" customWidth="1"/>
    <col min="11" max="11" width="19.7109375" customWidth="1"/>
    <col min="12" max="12" width="18" bestFit="1" customWidth="1"/>
    <col min="13" max="13" width="9.5703125" bestFit="1" customWidth="1"/>
    <col min="14" max="14" width="18" customWidth="1"/>
    <col min="15" max="15" width="19.28515625" customWidth="1"/>
    <col min="16" max="16" width="18.85546875" customWidth="1"/>
  </cols>
  <sheetData>
    <row r="1" spans="1:14">
      <c r="A1" t="s">
        <v>247</v>
      </c>
    </row>
    <row r="2" spans="1:14" ht="15.75" thickBot="1">
      <c r="K2" s="1"/>
      <c r="L2" s="1"/>
      <c r="M2" s="1"/>
      <c r="N2" s="1"/>
    </row>
    <row r="3" spans="1:14" ht="14.25" customHeight="1">
      <c r="B3" s="136" t="s">
        <v>244</v>
      </c>
      <c r="C3" s="61" t="s">
        <v>7</v>
      </c>
      <c r="D3" s="71" t="s">
        <v>224</v>
      </c>
      <c r="E3" s="71" t="s">
        <v>225</v>
      </c>
      <c r="F3" s="71" t="s">
        <v>234</v>
      </c>
      <c r="G3" s="71" t="s">
        <v>235</v>
      </c>
      <c r="H3" s="62" t="s">
        <v>236</v>
      </c>
      <c r="J3" s="57" t="s">
        <v>238</v>
      </c>
      <c r="K3" s="60" t="s">
        <v>239</v>
      </c>
      <c r="L3" s="58" t="s">
        <v>240</v>
      </c>
      <c r="M3" s="2"/>
      <c r="N3" s="2"/>
    </row>
    <row r="4" spans="1:14" ht="14.25" customHeight="1">
      <c r="C4" s="63" t="s">
        <v>13</v>
      </c>
      <c r="D4" s="75">
        <v>5.3879999999999999</v>
      </c>
      <c r="E4" s="75">
        <v>10.775</v>
      </c>
      <c r="F4" s="49">
        <f>INDEX($K$3:$K$19, MATCH(DASHBOARD!$C5*DASHBOARD!$D5*0.01,'Bega (Bega &amp; Bodalla)'!$K$3:$K$19,1))</f>
        <v>0.06</v>
      </c>
      <c r="G4" s="49">
        <f>INDEX($L$3:$L$19, MATCH(DASHBOARD!$C5*DASHBOARD!$E5*0.01,'Bega (Bega &amp; Bodalla)'!$K$3:$K$19,1))</f>
        <v>0.09</v>
      </c>
      <c r="H4" s="72">
        <f>8*31</f>
        <v>248</v>
      </c>
      <c r="J4" s="52">
        <v>0</v>
      </c>
      <c r="K4" s="51">
        <v>1.7999999999999999E-2</v>
      </c>
      <c r="L4" s="76">
        <v>3.5999999999999997E-2</v>
      </c>
      <c r="M4" s="28"/>
    </row>
    <row r="5" spans="1:14" ht="12" customHeight="1">
      <c r="C5" s="63" t="s">
        <v>15</v>
      </c>
      <c r="D5" s="75">
        <v>5.3879999999999999</v>
      </c>
      <c r="E5" s="75">
        <v>10.775</v>
      </c>
      <c r="F5" s="49">
        <f>INDEX($K$3:$K$19, MATCH(DASHBOARD!$C6*DASHBOARD!$D6*0.01,'Bega (Bega &amp; Bodalla)'!$K$3:$K$19,1))</f>
        <v>0.06</v>
      </c>
      <c r="G5" s="49">
        <f>INDEX($L$3:$L$19, MATCH(DASHBOARD!$C6*DASHBOARD!$E6*0.01,'Bega (Bega &amp; Bodalla)'!$K$3:$K$19,1))</f>
        <v>0.09</v>
      </c>
      <c r="H5" s="72">
        <f>8*31</f>
        <v>248</v>
      </c>
      <c r="J5" s="52">
        <v>1501</v>
      </c>
      <c r="K5" s="51">
        <v>0.03</v>
      </c>
      <c r="L5" s="76">
        <v>0.06</v>
      </c>
      <c r="M5" s="28"/>
    </row>
    <row r="6" spans="1:14">
      <c r="C6" s="63" t="s">
        <v>16</v>
      </c>
      <c r="D6" s="75">
        <v>5.0359999999999996</v>
      </c>
      <c r="E6" s="75">
        <v>10.071</v>
      </c>
      <c r="F6" s="49">
        <f>INDEX($K$3:$K$19, MATCH(DASHBOARD!$C7*DASHBOARD!$D7*0.01,'Bega (Bega &amp; Bodalla)'!$K$3:$K$19,1))</f>
        <v>0.06</v>
      </c>
      <c r="G6" s="49">
        <f>INDEX($L$3:$L$19, MATCH(DASHBOARD!$C7*DASHBOARD!$E7*0.01,'Bega (Bega &amp; Bodalla)'!$K$3:$K$19,1))</f>
        <v>0.09</v>
      </c>
      <c r="H6" s="72">
        <f>8*30</f>
        <v>240</v>
      </c>
      <c r="J6" s="52">
        <v>2501</v>
      </c>
      <c r="K6" s="51">
        <v>4.4999999999999998E-2</v>
      </c>
      <c r="L6" s="76">
        <v>0.09</v>
      </c>
      <c r="M6" s="28"/>
    </row>
    <row r="7" spans="1:14">
      <c r="C7" s="63" t="s">
        <v>17</v>
      </c>
      <c r="D7" s="75">
        <v>5.0359999999999996</v>
      </c>
      <c r="E7" s="75">
        <v>10.071</v>
      </c>
      <c r="F7" s="49">
        <f>INDEX($K$3:$K$19, MATCH(DASHBOARD!$C8*DASHBOARD!$D8*0.01,'Bega (Bega &amp; Bodalla)'!$K$3:$K$19,1))</f>
        <v>0.06</v>
      </c>
      <c r="G7" s="49">
        <f>INDEX($L$3:$L$19, MATCH(DASHBOARD!$C8*DASHBOARD!$E8*0.01,'Bega (Bega &amp; Bodalla)'!$K$3:$K$19,1))</f>
        <v>0.09</v>
      </c>
      <c r="H7" s="72">
        <f>8*31</f>
        <v>248</v>
      </c>
      <c r="J7" s="52">
        <v>3501</v>
      </c>
      <c r="K7" s="51">
        <v>0.06</v>
      </c>
      <c r="L7" s="76">
        <v>0.12</v>
      </c>
      <c r="M7" s="28"/>
    </row>
    <row r="8" spans="1:14">
      <c r="C8" s="63" t="s">
        <v>18</v>
      </c>
      <c r="D8" s="75">
        <v>5.0359999999999996</v>
      </c>
      <c r="E8" s="75">
        <v>10.071</v>
      </c>
      <c r="F8" s="49">
        <f>INDEX($K$3:$K$19, MATCH(DASHBOARD!$C9*DASHBOARD!$D9*0.01,'Bega (Bega &amp; Bodalla)'!$K$3:$K$19,1))</f>
        <v>0.06</v>
      </c>
      <c r="G8" s="49">
        <f>INDEX($L$3:$L$19, MATCH(DASHBOARD!$C9*DASHBOARD!$E9*0.01,'Bega (Bega &amp; Bodalla)'!$K$3:$K$19,1))</f>
        <v>0.09</v>
      </c>
      <c r="H8" s="72">
        <f>8*30</f>
        <v>240</v>
      </c>
      <c r="J8" s="52">
        <v>5501</v>
      </c>
      <c r="K8" s="51">
        <v>0.09</v>
      </c>
      <c r="L8" s="76">
        <v>0.18</v>
      </c>
      <c r="M8" s="28"/>
    </row>
    <row r="9" spans="1:14">
      <c r="C9" s="63" t="s">
        <v>19</v>
      </c>
      <c r="D9" s="75">
        <v>5.3879999999999999</v>
      </c>
      <c r="E9" s="75">
        <v>10.775</v>
      </c>
      <c r="F9" s="49">
        <f>INDEX($K$3:$K$19, MATCH(DASHBOARD!$C10*DASHBOARD!$D10*0.01,'Bega (Bega &amp; Bodalla)'!$K$3:$K$19,1))</f>
        <v>0.06</v>
      </c>
      <c r="G9" s="49">
        <f>INDEX($L$3:$L$19, MATCH(DASHBOARD!$C10*DASHBOARD!$E10*0.01,'Bega (Bega &amp; Bodalla)'!$K$3:$K$19,1))</f>
        <v>0.09</v>
      </c>
      <c r="H9" s="72">
        <f>8*31</f>
        <v>248</v>
      </c>
      <c r="J9" s="52">
        <v>7501</v>
      </c>
      <c r="K9" s="51">
        <v>0.125</v>
      </c>
      <c r="L9" s="76">
        <v>0.25</v>
      </c>
    </row>
    <row r="10" spans="1:14">
      <c r="C10" s="63" t="s">
        <v>20</v>
      </c>
      <c r="D10" s="75">
        <v>5.3879999999999999</v>
      </c>
      <c r="E10" s="75">
        <v>10.775</v>
      </c>
      <c r="F10" s="49">
        <f>INDEX($K$3:$K$19, MATCH(DASHBOARD!$C11*DASHBOARD!$D11*0.01,'Bega (Bega &amp; Bodalla)'!$K$3:$K$19,1))</f>
        <v>0.06</v>
      </c>
      <c r="G10" s="49">
        <f>INDEX($L$3:$L$19, MATCH(DASHBOARD!$C11*DASHBOARD!$E11*0.01,'Bega (Bega &amp; Bodalla)'!$K$3:$K$19,1))</f>
        <v>0.09</v>
      </c>
      <c r="H10" s="72">
        <f>8*31</f>
        <v>248</v>
      </c>
      <c r="J10" s="52">
        <v>10001</v>
      </c>
      <c r="K10" s="51">
        <v>0.16500000000000001</v>
      </c>
      <c r="L10" s="76">
        <v>0.33</v>
      </c>
    </row>
    <row r="11" spans="1:14">
      <c r="C11" s="63" t="s">
        <v>21</v>
      </c>
      <c r="D11" s="75">
        <v>5.3879999999999999</v>
      </c>
      <c r="E11" s="75">
        <v>10.775</v>
      </c>
      <c r="F11" s="49">
        <f>INDEX($K$3:$K$19, MATCH(DASHBOARD!$C12*DASHBOARD!$D12*0.01,'Bega (Bega &amp; Bodalla)'!$K$3:$K$19,1))</f>
        <v>0.06</v>
      </c>
      <c r="G11" s="49">
        <f>INDEX($L$3:$L$19, MATCH(DASHBOARD!$C12*DASHBOARD!$E12*0.01,'Bega (Bega &amp; Bodalla)'!$K$3:$K$19,1))</f>
        <v>0.09</v>
      </c>
      <c r="H11" s="72">
        <f>8*28</f>
        <v>224</v>
      </c>
      <c r="J11" s="52">
        <v>12501</v>
      </c>
      <c r="K11" s="51">
        <v>0.20499999999999999</v>
      </c>
      <c r="L11" s="76">
        <v>0.41</v>
      </c>
    </row>
    <row r="12" spans="1:14">
      <c r="C12" s="63" t="s">
        <v>22</v>
      </c>
      <c r="D12" s="75">
        <v>5.3879999999999999</v>
      </c>
      <c r="E12" s="75">
        <v>10.775</v>
      </c>
      <c r="F12" s="49">
        <f>INDEX($K$3:$K$19, MATCH(DASHBOARD!$C13*DASHBOARD!$D13*0.01,'Bega (Bega &amp; Bodalla)'!$K$3:$K$19,1))</f>
        <v>0.06</v>
      </c>
      <c r="G12" s="49">
        <f>INDEX($L$3:$L$19, MATCH(DASHBOARD!$C13*DASHBOARD!$E13*0.01,'Bega (Bega &amp; Bodalla)'!$K$3:$K$19,1))</f>
        <v>0.09</v>
      </c>
      <c r="H12" s="72">
        <f>8*31</f>
        <v>248</v>
      </c>
      <c r="J12" s="52">
        <v>15001</v>
      </c>
      <c r="K12" s="51">
        <v>0.245</v>
      </c>
      <c r="L12" s="76">
        <v>0.49</v>
      </c>
    </row>
    <row r="13" spans="1:14">
      <c r="C13" s="63" t="s">
        <v>23</v>
      </c>
      <c r="D13" s="75">
        <v>5.3879999999999999</v>
      </c>
      <c r="E13" s="75">
        <v>10.775</v>
      </c>
      <c r="F13" s="49">
        <f>INDEX($K$3:$K$19, MATCH(DASHBOARD!$C14*DASHBOARD!$D14*0.01,'Bega (Bega &amp; Bodalla)'!$K$3:$K$19,1))</f>
        <v>0.06</v>
      </c>
      <c r="G13" s="49">
        <f>INDEX($L$3:$L$19, MATCH(DASHBOARD!$C14*DASHBOARD!$E14*0.01,'Bega (Bega &amp; Bodalla)'!$K$3:$K$19,1))</f>
        <v>0.09</v>
      </c>
      <c r="H13" s="72">
        <f>8*30</f>
        <v>240</v>
      </c>
      <c r="J13" s="52">
        <v>17501</v>
      </c>
      <c r="K13" s="51">
        <v>0.28000000000000003</v>
      </c>
      <c r="L13" s="76">
        <v>0.56000000000000005</v>
      </c>
    </row>
    <row r="14" spans="1:14">
      <c r="C14" s="63" t="s">
        <v>24</v>
      </c>
      <c r="D14" s="75">
        <v>5.3879999999999999</v>
      </c>
      <c r="E14" s="75">
        <v>10.775</v>
      </c>
      <c r="F14" s="49">
        <f>INDEX($K$3:$K$19, MATCH(DASHBOARD!$C15*DASHBOARD!$D15*0.01,'Bega (Bega &amp; Bodalla)'!$K$3:$K$19,1))</f>
        <v>0.06</v>
      </c>
      <c r="G14" s="49">
        <f>INDEX($L$3:$L$19, MATCH(DASHBOARD!$C15*DASHBOARD!$E15*0.01,'Bega (Bega &amp; Bodalla)'!$K$3:$K$19,1))</f>
        <v>0.09</v>
      </c>
      <c r="H14" s="72">
        <f>8*31</f>
        <v>248</v>
      </c>
      <c r="J14" s="52">
        <v>20001</v>
      </c>
      <c r="K14" s="51">
        <v>0.3</v>
      </c>
      <c r="L14" s="76">
        <v>0.6</v>
      </c>
    </row>
    <row r="15" spans="1:14" ht="15.75" thickBot="1">
      <c r="C15" s="65" t="s">
        <v>25</v>
      </c>
      <c r="D15" s="79">
        <v>5.3879999999999999</v>
      </c>
      <c r="E15" s="79">
        <v>10.775</v>
      </c>
      <c r="F15" s="74">
        <f>INDEX($K$3:$K$19, MATCH(DASHBOARD!$C16*DASHBOARD!$D16*0.01,'Bega (Bega &amp; Bodalla)'!$K$3:$K$19,1))</f>
        <v>0.06</v>
      </c>
      <c r="G15" s="74">
        <f>INDEX($L$3:$L$19, MATCH(DASHBOARD!$C16*DASHBOARD!$E16*0.01,'Bega (Bega &amp; Bodalla)'!$K$3:$K$19,1))</f>
        <v>0.09</v>
      </c>
      <c r="H15" s="73">
        <f>8*31</f>
        <v>248</v>
      </c>
      <c r="J15" s="52">
        <v>25001</v>
      </c>
      <c r="K15" s="51">
        <v>0.32</v>
      </c>
      <c r="L15" s="76">
        <v>0.64</v>
      </c>
    </row>
    <row r="16" spans="1:14">
      <c r="J16" s="52">
        <v>30001</v>
      </c>
      <c r="K16" s="51">
        <v>0.34499999999999997</v>
      </c>
      <c r="L16" s="76">
        <v>0.69</v>
      </c>
    </row>
    <row r="17" spans="2:12">
      <c r="C17" t="s">
        <v>26</v>
      </c>
      <c r="H17" s="34" t="s">
        <v>241</v>
      </c>
      <c r="J17" s="52">
        <v>40001</v>
      </c>
      <c r="K17" s="51">
        <v>0.375</v>
      </c>
      <c r="L17" s="76">
        <v>0.75</v>
      </c>
    </row>
    <row r="18" spans="2:12">
      <c r="J18" s="52">
        <v>50001</v>
      </c>
      <c r="K18" s="51">
        <v>0.41</v>
      </c>
      <c r="L18" s="76">
        <v>0.82</v>
      </c>
    </row>
    <row r="19" spans="2:12">
      <c r="B19" t="s">
        <v>245</v>
      </c>
      <c r="C19" s="61" t="s">
        <v>7</v>
      </c>
      <c r="D19" s="71" t="s">
        <v>224</v>
      </c>
      <c r="E19" s="71" t="s">
        <v>225</v>
      </c>
      <c r="J19" s="52">
        <v>60001</v>
      </c>
      <c r="K19" s="51">
        <v>0.43</v>
      </c>
      <c r="L19" s="76">
        <v>0.86</v>
      </c>
    </row>
    <row r="20" spans="2:12">
      <c r="C20" s="63" t="s">
        <v>13</v>
      </c>
      <c r="D20" s="75">
        <v>5.484</v>
      </c>
      <c r="E20" s="75">
        <v>10.968</v>
      </c>
      <c r="J20" s="52">
        <v>70001</v>
      </c>
      <c r="K20" s="51">
        <v>0.44</v>
      </c>
      <c r="L20" s="76">
        <v>0.88</v>
      </c>
    </row>
    <row r="21" spans="2:12">
      <c r="C21" s="63" t="s">
        <v>15</v>
      </c>
      <c r="D21" s="75">
        <v>5.484</v>
      </c>
      <c r="E21" s="75">
        <v>10.968</v>
      </c>
      <c r="J21" s="52">
        <v>80001</v>
      </c>
      <c r="K21" s="51">
        <v>0.44500000000000001</v>
      </c>
      <c r="L21" s="76">
        <v>0.89</v>
      </c>
    </row>
    <row r="22" spans="2:12">
      <c r="C22" s="63" t="s">
        <v>16</v>
      </c>
      <c r="D22" s="75">
        <v>5.484</v>
      </c>
      <c r="E22" s="75">
        <v>10.968</v>
      </c>
      <c r="J22" s="54">
        <v>100001</v>
      </c>
      <c r="K22" s="55">
        <v>0.45</v>
      </c>
      <c r="L22" s="77">
        <v>0.9</v>
      </c>
    </row>
    <row r="23" spans="2:12">
      <c r="C23" s="63" t="s">
        <v>17</v>
      </c>
      <c r="D23" s="75">
        <v>5.484</v>
      </c>
      <c r="E23" s="75">
        <v>10.968</v>
      </c>
    </row>
    <row r="24" spans="2:12">
      <c r="C24" s="63" t="s">
        <v>18</v>
      </c>
      <c r="D24" s="75">
        <v>5.484</v>
      </c>
      <c r="E24" s="75">
        <v>10.968</v>
      </c>
    </row>
    <row r="25" spans="2:12">
      <c r="C25" s="63" t="s">
        <v>19</v>
      </c>
      <c r="D25" s="75">
        <v>5.484</v>
      </c>
      <c r="E25" s="75">
        <v>10.968</v>
      </c>
    </row>
    <row r="26" spans="2:12">
      <c r="C26" s="63" t="s">
        <v>20</v>
      </c>
      <c r="D26" s="75">
        <v>5.484</v>
      </c>
      <c r="E26" s="75">
        <v>10.968</v>
      </c>
    </row>
    <row r="27" spans="2:12">
      <c r="C27" s="63" t="s">
        <v>21</v>
      </c>
      <c r="D27" s="75">
        <v>5.484</v>
      </c>
      <c r="E27" s="75">
        <v>10.968</v>
      </c>
    </row>
    <row r="28" spans="2:12">
      <c r="C28" s="63" t="s">
        <v>22</v>
      </c>
      <c r="D28" s="75">
        <v>5.484</v>
      </c>
      <c r="E28" s="75">
        <v>10.968</v>
      </c>
    </row>
    <row r="29" spans="2:12">
      <c r="C29" s="63" t="s">
        <v>23</v>
      </c>
      <c r="D29" s="75">
        <v>5.484</v>
      </c>
      <c r="E29" s="75">
        <v>10.968</v>
      </c>
    </row>
    <row r="30" spans="2:12">
      <c r="C30" s="63" t="s">
        <v>24</v>
      </c>
      <c r="D30" s="75">
        <v>5.484</v>
      </c>
      <c r="E30" s="75">
        <v>10.968</v>
      </c>
    </row>
    <row r="31" spans="2:12">
      <c r="C31" s="65" t="s">
        <v>25</v>
      </c>
      <c r="D31" s="75">
        <v>5.484</v>
      </c>
      <c r="E31" s="75">
        <v>10.968</v>
      </c>
    </row>
    <row r="34" spans="2:5">
      <c r="B34" t="s">
        <v>246</v>
      </c>
      <c r="C34" s="61" t="s">
        <v>7</v>
      </c>
      <c r="D34" s="71" t="s">
        <v>224</v>
      </c>
      <c r="E34" s="71" t="s">
        <v>225</v>
      </c>
    </row>
    <row r="35" spans="2:5">
      <c r="C35" s="63" t="s">
        <v>13</v>
      </c>
      <c r="D35" s="75">
        <v>7.95</v>
      </c>
      <c r="E35" s="75">
        <v>7.95</v>
      </c>
    </row>
    <row r="36" spans="2:5">
      <c r="C36" s="63" t="s">
        <v>15</v>
      </c>
      <c r="D36" s="75">
        <v>7.95</v>
      </c>
      <c r="E36" s="75">
        <v>7.95</v>
      </c>
    </row>
    <row r="37" spans="2:5">
      <c r="C37" s="63" t="s">
        <v>16</v>
      </c>
      <c r="D37" s="75">
        <v>7.95</v>
      </c>
      <c r="E37" s="75">
        <v>7.95</v>
      </c>
    </row>
    <row r="38" spans="2:5">
      <c r="C38" s="63" t="s">
        <v>17</v>
      </c>
      <c r="D38" s="75">
        <v>7.95</v>
      </c>
      <c r="E38" s="75">
        <v>7.95</v>
      </c>
    </row>
    <row r="39" spans="2:5">
      <c r="C39" s="63" t="s">
        <v>18</v>
      </c>
      <c r="D39" s="75">
        <v>7.95</v>
      </c>
      <c r="E39" s="75">
        <v>7.95</v>
      </c>
    </row>
    <row r="40" spans="2:5">
      <c r="C40" s="63" t="s">
        <v>19</v>
      </c>
      <c r="D40" s="75">
        <v>7.95</v>
      </c>
      <c r="E40" s="75">
        <v>7.95</v>
      </c>
    </row>
    <row r="41" spans="2:5">
      <c r="C41" s="63" t="s">
        <v>20</v>
      </c>
      <c r="D41" s="75">
        <v>7.95</v>
      </c>
      <c r="E41" s="75">
        <v>7.95</v>
      </c>
    </row>
    <row r="42" spans="2:5">
      <c r="C42" s="63" t="s">
        <v>21</v>
      </c>
      <c r="D42" s="75">
        <v>7.95</v>
      </c>
      <c r="E42" s="75">
        <v>7.95</v>
      </c>
    </row>
    <row r="43" spans="2:5">
      <c r="C43" s="63" t="s">
        <v>22</v>
      </c>
      <c r="D43" s="75">
        <v>7.95</v>
      </c>
      <c r="E43" s="75">
        <v>7.95</v>
      </c>
    </row>
    <row r="44" spans="2:5">
      <c r="C44" s="63" t="s">
        <v>23</v>
      </c>
      <c r="D44" s="75">
        <v>7.95</v>
      </c>
      <c r="E44" s="75">
        <v>7.95</v>
      </c>
    </row>
    <row r="45" spans="2:5">
      <c r="C45" s="63" t="s">
        <v>24</v>
      </c>
      <c r="D45" s="75">
        <v>7.95</v>
      </c>
      <c r="E45" s="75">
        <v>7.95</v>
      </c>
    </row>
    <row r="46" spans="2:5">
      <c r="C46" s="65" t="s">
        <v>25</v>
      </c>
      <c r="D46" s="75">
        <v>7.95</v>
      </c>
      <c r="E46" s="75">
        <v>7.95</v>
      </c>
    </row>
  </sheetData>
  <sheetProtection algorithmName="SHA-512" hashValue="RUlNd9M0NYzJ8bxQZLtf95VA0xsZNAGRWzGmL0rySjMsGO1TIogsNq2FTPfgUpM45maliBTXzzZPONIQZpWQQg==" saltValue="o+guTPCjgtGDxqOF7sRUZ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6DCAB-0564-41A6-AE48-E4B1EE14F478}">
  <dimension ref="A1:P20"/>
  <sheetViews>
    <sheetView workbookViewId="0">
      <selection activeCell="I3" sqref="I3"/>
    </sheetView>
  </sheetViews>
  <sheetFormatPr defaultRowHeight="15"/>
  <cols>
    <col min="1" max="1" width="27" customWidth="1"/>
    <col min="4" max="4" width="19.28515625" customWidth="1"/>
    <col min="5" max="5" width="18.28515625" customWidth="1"/>
    <col min="6" max="6" width="33.5703125" customWidth="1"/>
    <col min="7" max="7" width="16.42578125" bestFit="1" customWidth="1"/>
    <col min="8" max="8" width="17" customWidth="1"/>
    <col min="9" max="9" width="10.7109375" bestFit="1" customWidth="1"/>
    <col min="10" max="10" width="9.5703125" bestFit="1" customWidth="1"/>
    <col min="11" max="11" width="11.5703125" bestFit="1" customWidth="1"/>
    <col min="12" max="12" width="10.5703125" bestFit="1" customWidth="1"/>
    <col min="13" max="13" width="9.5703125" bestFit="1" customWidth="1"/>
    <col min="14" max="14" width="10.7109375" bestFit="1" customWidth="1"/>
    <col min="15" max="15" width="9.5703125" bestFit="1" customWidth="1"/>
  </cols>
  <sheetData>
    <row r="1" spans="1:16" ht="16.5" customHeight="1">
      <c r="A1" s="23" t="s">
        <v>248</v>
      </c>
    </row>
    <row r="2" spans="1:16" ht="15.75" thickBot="1">
      <c r="K2" s="1"/>
      <c r="L2" s="1"/>
      <c r="M2" s="1"/>
      <c r="N2" s="1"/>
    </row>
    <row r="3" spans="1:16" ht="14.25" customHeight="1">
      <c r="C3" s="61" t="s">
        <v>7</v>
      </c>
      <c r="D3" s="71" t="s">
        <v>224</v>
      </c>
      <c r="E3" s="71" t="s">
        <v>225</v>
      </c>
      <c r="F3" s="71" t="s">
        <v>249</v>
      </c>
      <c r="G3" s="62" t="s">
        <v>236</v>
      </c>
      <c r="I3" s="57" t="s">
        <v>250</v>
      </c>
      <c r="J3" s="58" t="s">
        <v>251</v>
      </c>
      <c r="M3" s="2"/>
      <c r="N3" s="2"/>
    </row>
    <row r="4" spans="1:16" ht="14.25" customHeight="1">
      <c r="C4" s="63" t="s">
        <v>13</v>
      </c>
      <c r="D4" s="75">
        <v>7.32</v>
      </c>
      <c r="E4" s="75">
        <v>10.98</v>
      </c>
      <c r="F4" s="49">
        <f>INDEX($J$3:$J$10, MATCH(DASHBOARD!$C$18,$I$3:$I$10,1))</f>
        <v>5.0000000000000001E-3</v>
      </c>
      <c r="G4" s="72">
        <f>10*31</f>
        <v>310</v>
      </c>
      <c r="I4" s="52">
        <v>0</v>
      </c>
      <c r="J4" s="53">
        <v>0</v>
      </c>
      <c r="L4" s="28"/>
      <c r="M4" s="28"/>
    </row>
    <row r="5" spans="1:16" ht="12" customHeight="1">
      <c r="C5" s="63" t="s">
        <v>15</v>
      </c>
      <c r="D5" s="75">
        <v>7.1</v>
      </c>
      <c r="E5" s="75">
        <v>10.65</v>
      </c>
      <c r="F5" s="49">
        <f>INDEX($J$3:$J$10, MATCH(DASHBOARD!$C$18,$I$3:$I$10,1))</f>
        <v>5.0000000000000001E-3</v>
      </c>
      <c r="G5" s="72">
        <f>10*31</f>
        <v>310</v>
      </c>
      <c r="I5" s="52">
        <v>1000001</v>
      </c>
      <c r="J5" s="53">
        <v>5.0000000000000001E-3</v>
      </c>
      <c r="K5" s="3"/>
      <c r="L5" s="28"/>
      <c r="M5" s="28"/>
      <c r="P5" s="28"/>
    </row>
    <row r="6" spans="1:16">
      <c r="C6" s="63" t="s">
        <v>16</v>
      </c>
      <c r="D6" s="75">
        <v>6.68</v>
      </c>
      <c r="E6" s="75">
        <v>10.02</v>
      </c>
      <c r="F6" s="49">
        <f>INDEX($J$3:$J$10, MATCH(DASHBOARD!$C$18,$I$3:$I$10,1))</f>
        <v>5.0000000000000001E-3</v>
      </c>
      <c r="G6" s="72">
        <f>10*30</f>
        <v>300</v>
      </c>
      <c r="I6" s="52">
        <v>2000001</v>
      </c>
      <c r="J6" s="53">
        <v>0.01</v>
      </c>
      <c r="K6" s="3"/>
      <c r="L6" s="28"/>
      <c r="M6" s="28"/>
      <c r="P6" s="28"/>
    </row>
    <row r="7" spans="1:16">
      <c r="C7" s="63" t="s">
        <v>17</v>
      </c>
      <c r="D7" s="75">
        <v>6.68</v>
      </c>
      <c r="E7" s="75">
        <v>10.02</v>
      </c>
      <c r="F7" s="49">
        <f>INDEX($J$3:$J$10, MATCH(DASHBOARD!$C$18,$I$3:$I$10,1))</f>
        <v>5.0000000000000001E-3</v>
      </c>
      <c r="G7" s="72">
        <f>10*31</f>
        <v>310</v>
      </c>
      <c r="I7" s="52">
        <v>3000001</v>
      </c>
      <c r="J7" s="53">
        <v>1.4999999999999999E-2</v>
      </c>
      <c r="K7" s="3"/>
      <c r="L7" s="28"/>
      <c r="M7" s="28"/>
      <c r="P7" s="28"/>
    </row>
    <row r="8" spans="1:16">
      <c r="C8" s="63" t="s">
        <v>18</v>
      </c>
      <c r="D8" s="75">
        <v>6.68</v>
      </c>
      <c r="E8" s="75">
        <v>10.02</v>
      </c>
      <c r="F8" s="49">
        <f>INDEX($J$3:$J$10, MATCH(DASHBOARD!$C$18,$I$3:$I$10,1))</f>
        <v>5.0000000000000001E-3</v>
      </c>
      <c r="G8" s="72">
        <f>10*30</f>
        <v>300</v>
      </c>
      <c r="I8" s="52">
        <v>5000001</v>
      </c>
      <c r="J8" s="53">
        <v>0.02</v>
      </c>
      <c r="K8" s="3"/>
      <c r="L8" s="28"/>
      <c r="M8" s="28"/>
      <c r="P8" s="28"/>
    </row>
    <row r="9" spans="1:16">
      <c r="C9" s="63" t="s">
        <v>19</v>
      </c>
      <c r="D9" s="75">
        <v>7.06</v>
      </c>
      <c r="E9" s="75">
        <v>10.59</v>
      </c>
      <c r="F9" s="49">
        <f>INDEX($J$3:$J$10, MATCH(DASHBOARD!$C$18,$I$3:$I$10,1))</f>
        <v>5.0000000000000001E-3</v>
      </c>
      <c r="G9" s="72">
        <f>10*31</f>
        <v>310</v>
      </c>
      <c r="I9" s="52">
        <v>7000001</v>
      </c>
      <c r="J9" s="53">
        <v>2.5000000000000001E-2</v>
      </c>
      <c r="K9" s="3"/>
      <c r="L9" s="28"/>
      <c r="P9" s="28"/>
    </row>
    <row r="10" spans="1:16" ht="15.75" thickBot="1">
      <c r="C10" s="63" t="s">
        <v>20</v>
      </c>
      <c r="D10" s="75">
        <v>7.68</v>
      </c>
      <c r="E10" s="75">
        <v>11.52</v>
      </c>
      <c r="F10" s="49">
        <f>INDEX($J$3:$J$10, MATCH(DASHBOARD!$C$18,$I$3:$I$10,1))</f>
        <v>5.0000000000000001E-3</v>
      </c>
      <c r="G10" s="72">
        <f>10*31</f>
        <v>310</v>
      </c>
      <c r="I10" s="54">
        <v>10000001</v>
      </c>
      <c r="J10" s="56">
        <v>0.03</v>
      </c>
      <c r="K10" s="3"/>
      <c r="L10" s="28"/>
      <c r="P10" s="28"/>
    </row>
    <row r="11" spans="1:16">
      <c r="C11" s="63" t="s">
        <v>21</v>
      </c>
      <c r="D11" s="75">
        <v>7.68</v>
      </c>
      <c r="E11" s="75">
        <v>11.52</v>
      </c>
      <c r="F11" s="49">
        <f>INDEX($J$3:$J$10, MATCH(DASHBOARD!$C$18,$I$3:$I$10,1))</f>
        <v>5.0000000000000001E-3</v>
      </c>
      <c r="G11" s="72">
        <f>10*28</f>
        <v>280</v>
      </c>
      <c r="K11" s="3"/>
      <c r="L11" s="28"/>
      <c r="P11" s="28"/>
    </row>
    <row r="12" spans="1:16">
      <c r="C12" s="63" t="s">
        <v>22</v>
      </c>
      <c r="D12" s="75">
        <v>7.94</v>
      </c>
      <c r="E12" s="75">
        <v>11.91</v>
      </c>
      <c r="F12" s="49">
        <f>INDEX($J$3:$J$10, MATCH(DASHBOARD!$C$18,$I$3:$I$10,1))</f>
        <v>5.0000000000000001E-3</v>
      </c>
      <c r="G12" s="72">
        <f>10*31</f>
        <v>310</v>
      </c>
      <c r="K12" s="3"/>
      <c r="L12" s="28"/>
      <c r="P12" s="28"/>
    </row>
    <row r="13" spans="1:16">
      <c r="C13" s="63" t="s">
        <v>23</v>
      </c>
      <c r="D13" s="75">
        <v>7.94</v>
      </c>
      <c r="E13" s="75">
        <v>11.91</v>
      </c>
      <c r="F13" s="49">
        <f>INDEX($J$3:$J$10, MATCH(DASHBOARD!$C$18,$I$3:$I$10,1))</f>
        <v>5.0000000000000001E-3</v>
      </c>
      <c r="G13" s="72">
        <f>10*30</f>
        <v>300</v>
      </c>
      <c r="K13" s="3"/>
      <c r="L13" s="28"/>
      <c r="P13" s="28"/>
    </row>
    <row r="14" spans="1:16">
      <c r="C14" s="63" t="s">
        <v>24</v>
      </c>
      <c r="D14" s="75">
        <v>7.58</v>
      </c>
      <c r="E14" s="75">
        <v>11.37</v>
      </c>
      <c r="F14" s="49">
        <f>INDEX($J$3:$J$10, MATCH(DASHBOARD!$C$18,$I$3:$I$10,1))</f>
        <v>5.0000000000000001E-3</v>
      </c>
      <c r="G14" s="72">
        <f>10*31</f>
        <v>310</v>
      </c>
      <c r="K14" s="3"/>
      <c r="L14" s="28"/>
      <c r="P14" s="28"/>
    </row>
    <row r="15" spans="1:16" ht="15.75" thickBot="1">
      <c r="C15" s="65" t="s">
        <v>25</v>
      </c>
      <c r="D15" s="79">
        <v>7.58</v>
      </c>
      <c r="E15" s="79">
        <v>11.37</v>
      </c>
      <c r="F15" s="74">
        <f>INDEX($J$3:$J$10, MATCH(DASHBOARD!$C$18,$I$3:$I$10,1))</f>
        <v>5.0000000000000001E-3</v>
      </c>
      <c r="G15" s="73">
        <f>10*31</f>
        <v>310</v>
      </c>
      <c r="K15" s="2"/>
      <c r="L15" s="28"/>
      <c r="P15" s="28"/>
    </row>
    <row r="16" spans="1:16">
      <c r="D16" s="28"/>
      <c r="E16" s="28"/>
      <c r="K16" s="3"/>
      <c r="L16" s="28"/>
      <c r="P16" s="28"/>
    </row>
    <row r="17" spans="3:16">
      <c r="C17" t="s">
        <v>26</v>
      </c>
      <c r="D17" s="28"/>
      <c r="E17" s="28"/>
      <c r="G17" s="34" t="s">
        <v>241</v>
      </c>
      <c r="L17" s="28"/>
      <c r="P17" s="28"/>
    </row>
    <row r="18" spans="3:16">
      <c r="L18" s="28"/>
      <c r="P18" s="28"/>
    </row>
    <row r="19" spans="3:16">
      <c r="L19" s="28"/>
      <c r="P19" s="28"/>
    </row>
    <row r="20" spans="3:16">
      <c r="L20" s="28"/>
      <c r="P20" s="28"/>
    </row>
  </sheetData>
  <sheetProtection algorithmName="SHA-512" hashValue="G3g6rhfZCR66+RwFSIreNQ+p2JgGdP4T9DfEHaQxotXr1rfKLLcOBLxy3R6vWtaV2Wy0LTl01nZnbbXYn1nC5A==" saltValue="ad1OqaV5r/9kjmCAL0oCF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7457-CD21-4A6D-81DC-BB264399E1A8}">
  <dimension ref="A1:N45"/>
  <sheetViews>
    <sheetView topLeftCell="A15" workbookViewId="0">
      <selection activeCell="E34" sqref="E34:E45"/>
    </sheetView>
  </sheetViews>
  <sheetFormatPr defaultRowHeight="15"/>
  <cols>
    <col min="1" max="1" width="60.5703125" customWidth="1"/>
    <col min="3" max="3" width="10.85546875" bestFit="1" customWidth="1"/>
    <col min="4" max="4" width="20.140625" customWidth="1"/>
    <col min="5" max="5" width="18.28515625" customWidth="1"/>
    <col min="6" max="6" width="39.140625" customWidth="1"/>
    <col min="7" max="7" width="37.7109375" customWidth="1"/>
    <col min="8" max="8" width="16.42578125" bestFit="1" customWidth="1"/>
    <col min="9" max="9" width="16.5703125" customWidth="1"/>
    <col min="10" max="10" width="22" customWidth="1"/>
    <col min="11" max="11" width="19.42578125" bestFit="1" customWidth="1"/>
    <col min="12" max="12" width="18" bestFit="1" customWidth="1"/>
    <col min="13" max="14" width="9.5703125" bestFit="1" customWidth="1"/>
  </cols>
  <sheetData>
    <row r="1" spans="1:14" ht="22.5" customHeight="1">
      <c r="A1" s="23" t="s">
        <v>252</v>
      </c>
    </row>
    <row r="2" spans="1:14" ht="15.75" thickBot="1">
      <c r="K2" s="1"/>
      <c r="L2" s="1"/>
      <c r="M2" s="1"/>
      <c r="N2" s="1"/>
    </row>
    <row r="3" spans="1:14" ht="14.25" customHeight="1">
      <c r="B3" s="136" t="s">
        <v>244</v>
      </c>
      <c r="C3" s="61" t="s">
        <v>7</v>
      </c>
      <c r="D3" s="71" t="s">
        <v>224</v>
      </c>
      <c r="E3" s="71" t="s">
        <v>225</v>
      </c>
      <c r="F3" s="71" t="s">
        <v>234</v>
      </c>
      <c r="G3" s="71" t="s">
        <v>235</v>
      </c>
      <c r="H3" s="62" t="s">
        <v>236</v>
      </c>
      <c r="J3" s="57" t="s">
        <v>238</v>
      </c>
      <c r="K3" s="60" t="s">
        <v>239</v>
      </c>
      <c r="L3" s="58" t="s">
        <v>240</v>
      </c>
      <c r="M3" s="2"/>
      <c r="N3" s="2"/>
    </row>
    <row r="4" spans="1:14" ht="14.25" customHeight="1">
      <c r="C4" s="63" t="s">
        <v>13</v>
      </c>
      <c r="D4" s="75">
        <v>5.3879999999999999</v>
      </c>
      <c r="E4" s="75">
        <v>10.775</v>
      </c>
      <c r="F4" s="49">
        <f>INDEX($K$3:$K$22, MATCH(DASHBOARD!$C5*DASHBOARD!$D5*0.01,$J$3:$J$22,1))</f>
        <v>0.06</v>
      </c>
      <c r="G4" s="49">
        <f>INDEX($L$3:$L$22, MATCH(DASHBOARD!$C5*DASHBOARD!$E5*0.01,$J$3:$J$22,1))</f>
        <v>0.09</v>
      </c>
      <c r="H4" s="72">
        <f>8*31</f>
        <v>248</v>
      </c>
      <c r="J4" s="52">
        <v>0</v>
      </c>
      <c r="K4" s="51">
        <v>1.7999999999999999E-2</v>
      </c>
      <c r="L4" s="76">
        <v>3.5999999999999997E-2</v>
      </c>
      <c r="M4" s="28"/>
    </row>
    <row r="5" spans="1:14" ht="12" customHeight="1">
      <c r="C5" s="63" t="s">
        <v>15</v>
      </c>
      <c r="D5" s="75">
        <v>5.3879999999999999</v>
      </c>
      <c r="E5" s="75">
        <v>10.775</v>
      </c>
      <c r="F5" s="49">
        <f>INDEX($K$3:$K$22, MATCH(DASHBOARD!$C6*DASHBOARD!$D6*0.01,$J$3:$J$22,1))</f>
        <v>0.06</v>
      </c>
      <c r="G5" s="49">
        <f>INDEX($L$3:$L$22, MATCH(DASHBOARD!$C6*DASHBOARD!$E6*0.01,$J$3:$J$22,1))</f>
        <v>0.09</v>
      </c>
      <c r="H5" s="72">
        <f>8*31</f>
        <v>248</v>
      </c>
      <c r="J5" s="52">
        <v>1501</v>
      </c>
      <c r="K5" s="51">
        <v>0.03</v>
      </c>
      <c r="L5" s="76">
        <v>0.06</v>
      </c>
      <c r="M5" s="28"/>
    </row>
    <row r="6" spans="1:14">
      <c r="C6" s="63" t="s">
        <v>16</v>
      </c>
      <c r="D6" s="75">
        <v>5.0359999999999996</v>
      </c>
      <c r="E6" s="75">
        <v>10.071</v>
      </c>
      <c r="F6" s="49">
        <f>INDEX($K$3:$K$22, MATCH(DASHBOARD!$C7*DASHBOARD!$D7*0.01,$J$3:$J$22,1))</f>
        <v>0.06</v>
      </c>
      <c r="G6" s="49">
        <f>INDEX($L$3:$L$22, MATCH(DASHBOARD!$C7*DASHBOARD!$E7*0.01,$J$3:$J$22,1))</f>
        <v>0.09</v>
      </c>
      <c r="H6" s="72">
        <f>8*30</f>
        <v>240</v>
      </c>
      <c r="J6" s="52">
        <v>2501</v>
      </c>
      <c r="K6" s="51">
        <v>4.4999999999999998E-2</v>
      </c>
      <c r="L6" s="76">
        <v>0.09</v>
      </c>
      <c r="M6" s="28"/>
    </row>
    <row r="7" spans="1:14">
      <c r="C7" s="63" t="s">
        <v>17</v>
      </c>
      <c r="D7" s="75">
        <v>5.0359999999999996</v>
      </c>
      <c r="E7" s="75">
        <v>10.071</v>
      </c>
      <c r="F7" s="49">
        <f>INDEX($K$3:$K$22, MATCH(DASHBOARD!$C8*DASHBOARD!$D8*0.01,$J$3:$J$22,1))</f>
        <v>0.06</v>
      </c>
      <c r="G7" s="49">
        <f>INDEX($L$3:$L$22, MATCH(DASHBOARD!$C8*DASHBOARD!$E8*0.01,$J$3:$J$22,1))</f>
        <v>0.09</v>
      </c>
      <c r="H7" s="72">
        <f>8*31</f>
        <v>248</v>
      </c>
      <c r="J7" s="52">
        <v>3501</v>
      </c>
      <c r="K7" s="51">
        <v>0.06</v>
      </c>
      <c r="L7" s="76">
        <v>0.12</v>
      </c>
      <c r="M7" s="28"/>
    </row>
    <row r="8" spans="1:14">
      <c r="C8" s="63" t="s">
        <v>18</v>
      </c>
      <c r="D8" s="75">
        <v>5.0359999999999996</v>
      </c>
      <c r="E8" s="75">
        <v>10.071</v>
      </c>
      <c r="F8" s="49">
        <f>INDEX($K$3:$K$22, MATCH(DASHBOARD!$C9*DASHBOARD!$D9*0.01,$J$3:$J$22,1))</f>
        <v>0.06</v>
      </c>
      <c r="G8" s="49">
        <f>INDEX($L$3:$L$22, MATCH(DASHBOARD!$C9*DASHBOARD!$E9*0.01,$J$3:$J$22,1))</f>
        <v>0.09</v>
      </c>
      <c r="H8" s="72">
        <f>8*30</f>
        <v>240</v>
      </c>
      <c r="J8" s="52">
        <v>5501</v>
      </c>
      <c r="K8" s="51">
        <v>0.09</v>
      </c>
      <c r="L8" s="76">
        <v>0.18</v>
      </c>
      <c r="M8" s="28"/>
    </row>
    <row r="9" spans="1:14">
      <c r="C9" s="63" t="s">
        <v>19</v>
      </c>
      <c r="D9" s="75">
        <v>5.3879999999999999</v>
      </c>
      <c r="E9" s="75">
        <v>10.775</v>
      </c>
      <c r="F9" s="49">
        <f>INDEX($K$3:$K$22, MATCH(DASHBOARD!$C10*DASHBOARD!$D10*0.01,$J$3:$J$22,1))</f>
        <v>0.06</v>
      </c>
      <c r="G9" s="49">
        <f>INDEX($L$3:$L$22, MATCH(DASHBOARD!$C10*DASHBOARD!$E10*0.01,$J$3:$J$22,1))</f>
        <v>0.09</v>
      </c>
      <c r="H9" s="72">
        <f>8*31</f>
        <v>248</v>
      </c>
      <c r="J9" s="52">
        <v>7501</v>
      </c>
      <c r="K9" s="51">
        <v>0.125</v>
      </c>
      <c r="L9" s="76">
        <v>0.25</v>
      </c>
    </row>
    <row r="10" spans="1:14">
      <c r="C10" s="63" t="s">
        <v>20</v>
      </c>
      <c r="D10" s="75">
        <v>5.3879999999999999</v>
      </c>
      <c r="E10" s="75">
        <v>10.775</v>
      </c>
      <c r="F10" s="49">
        <f>INDEX($K$3:$K$22, MATCH(DASHBOARD!$C11*DASHBOARD!$D11*0.01,$J$3:$J$22,1))</f>
        <v>0.06</v>
      </c>
      <c r="G10" s="49">
        <f>INDEX($L$3:$L$22, MATCH(DASHBOARD!$C11*DASHBOARD!$E11*0.01,$J$3:$J$22,1))</f>
        <v>0.09</v>
      </c>
      <c r="H10" s="72">
        <f>8*31</f>
        <v>248</v>
      </c>
      <c r="J10" s="52">
        <v>10001</v>
      </c>
      <c r="K10" s="51">
        <v>0.16500000000000001</v>
      </c>
      <c r="L10" s="76">
        <v>0.33</v>
      </c>
    </row>
    <row r="11" spans="1:14">
      <c r="C11" s="63" t="s">
        <v>21</v>
      </c>
      <c r="D11" s="75">
        <v>5.3879999999999999</v>
      </c>
      <c r="E11" s="75">
        <v>10.775</v>
      </c>
      <c r="F11" s="49">
        <f>INDEX($K$3:$K$22, MATCH(DASHBOARD!$C12*DASHBOARD!$D12*0.01,$J$3:$J$22,1))</f>
        <v>0.06</v>
      </c>
      <c r="G11" s="49">
        <f>INDEX($L$3:$L$22, MATCH(DASHBOARD!$C12*DASHBOARD!$E12*0.01,$J$3:$J$22,1))</f>
        <v>0.09</v>
      </c>
      <c r="H11" s="72">
        <f>8*28</f>
        <v>224</v>
      </c>
      <c r="J11" s="52">
        <v>12501</v>
      </c>
      <c r="K11" s="51">
        <v>0.20499999999999999</v>
      </c>
      <c r="L11" s="76">
        <v>0.41</v>
      </c>
    </row>
    <row r="12" spans="1:14">
      <c r="C12" s="63" t="s">
        <v>22</v>
      </c>
      <c r="D12" s="75">
        <v>5.3879999999999999</v>
      </c>
      <c r="E12" s="75">
        <v>10.775</v>
      </c>
      <c r="F12" s="49">
        <f>INDEX($K$3:$K$22, MATCH(DASHBOARD!$C13*DASHBOARD!$D13*0.01,$J$3:$J$22,1))</f>
        <v>0.06</v>
      </c>
      <c r="G12" s="49">
        <f>INDEX($L$3:$L$22, MATCH(DASHBOARD!$C13*DASHBOARD!$E13*0.01,$J$3:$J$22,1))</f>
        <v>0.09</v>
      </c>
      <c r="H12" s="72">
        <f>8*31</f>
        <v>248</v>
      </c>
      <c r="J12" s="52">
        <v>15001</v>
      </c>
      <c r="K12" s="51">
        <v>0.245</v>
      </c>
      <c r="L12" s="76">
        <v>0.49</v>
      </c>
    </row>
    <row r="13" spans="1:14">
      <c r="C13" s="63" t="s">
        <v>23</v>
      </c>
      <c r="D13" s="75">
        <v>5.3879999999999999</v>
      </c>
      <c r="E13" s="75">
        <v>10.775</v>
      </c>
      <c r="F13" s="49">
        <f>INDEX($K$3:$K$22, MATCH(DASHBOARD!$C14*DASHBOARD!$D14*0.01,$J$3:$J$22,1))</f>
        <v>0.06</v>
      </c>
      <c r="G13" s="49">
        <f>INDEX($L$3:$L$22, MATCH(DASHBOARD!$C14*DASHBOARD!$E14*0.01,$J$3:$J$22,1))</f>
        <v>0.09</v>
      </c>
      <c r="H13" s="72">
        <f>8*30</f>
        <v>240</v>
      </c>
      <c r="J13" s="52">
        <v>17501</v>
      </c>
      <c r="K13" s="51">
        <v>0.28000000000000003</v>
      </c>
      <c r="L13" s="76">
        <v>0.56000000000000005</v>
      </c>
    </row>
    <row r="14" spans="1:14">
      <c r="C14" s="63" t="s">
        <v>24</v>
      </c>
      <c r="D14" s="75">
        <v>5.3879999999999999</v>
      </c>
      <c r="E14" s="75">
        <v>10.775</v>
      </c>
      <c r="F14" s="49">
        <f>INDEX($K$3:$K$22, MATCH(DASHBOARD!$C15*DASHBOARD!$D15*0.01,$J$3:$J$22,1))</f>
        <v>0.06</v>
      </c>
      <c r="G14" s="49">
        <f>INDEX($L$3:$L$22, MATCH(DASHBOARD!$C15*DASHBOARD!$E15*0.01,$J$3:$J$22,1))</f>
        <v>0.09</v>
      </c>
      <c r="H14" s="72">
        <f>8*31</f>
        <v>248</v>
      </c>
      <c r="J14" s="52">
        <v>20001</v>
      </c>
      <c r="K14" s="51">
        <v>0.3</v>
      </c>
      <c r="L14" s="76">
        <v>0.6</v>
      </c>
    </row>
    <row r="15" spans="1:14" ht="15.75" thickBot="1">
      <c r="C15" s="65" t="s">
        <v>25</v>
      </c>
      <c r="D15" s="79">
        <v>5.3879999999999999</v>
      </c>
      <c r="E15" s="79">
        <v>10.775</v>
      </c>
      <c r="F15" s="74">
        <f>INDEX($K$3:$K$22, MATCH(DASHBOARD!$C16*DASHBOARD!$D16*0.01,$J$3:$J$22,1))</f>
        <v>0.06</v>
      </c>
      <c r="G15" s="74">
        <f>INDEX($L$3:$L$22, MATCH(DASHBOARD!$C16*DASHBOARD!$E16*0.01,$J$3:$J$22,1))</f>
        <v>0.09</v>
      </c>
      <c r="H15" s="73">
        <f>8*31</f>
        <v>248</v>
      </c>
      <c r="J15" s="52">
        <v>25001</v>
      </c>
      <c r="K15" s="51">
        <v>0.32</v>
      </c>
      <c r="L15" s="76">
        <v>0.64</v>
      </c>
    </row>
    <row r="16" spans="1:14">
      <c r="J16" s="52">
        <v>30001</v>
      </c>
      <c r="K16" s="51">
        <v>0.34499999999999997</v>
      </c>
      <c r="L16" s="76">
        <v>0.69</v>
      </c>
    </row>
    <row r="17" spans="2:12">
      <c r="C17" t="s">
        <v>26</v>
      </c>
      <c r="H17" s="34" t="s">
        <v>241</v>
      </c>
      <c r="J17" s="52">
        <v>40001</v>
      </c>
      <c r="K17" s="51">
        <v>0.375</v>
      </c>
      <c r="L17" s="76">
        <v>0.75</v>
      </c>
    </row>
    <row r="18" spans="2:12">
      <c r="J18" s="52">
        <v>50001</v>
      </c>
      <c r="K18" s="51">
        <v>0.41</v>
      </c>
      <c r="L18" s="76">
        <v>0.82</v>
      </c>
    </row>
    <row r="19" spans="2:12">
      <c r="B19" t="s">
        <v>245</v>
      </c>
      <c r="C19" s="61" t="s">
        <v>7</v>
      </c>
      <c r="D19" s="71" t="s">
        <v>224</v>
      </c>
      <c r="E19" s="71" t="s">
        <v>225</v>
      </c>
      <c r="J19" s="52">
        <v>60001</v>
      </c>
      <c r="K19" s="51">
        <v>0.43</v>
      </c>
      <c r="L19" s="76">
        <v>0.86</v>
      </c>
    </row>
    <row r="20" spans="2:12">
      <c r="C20" s="63" t="s">
        <v>13</v>
      </c>
      <c r="D20" s="75">
        <v>5.484</v>
      </c>
      <c r="E20" s="75">
        <v>10.968</v>
      </c>
      <c r="J20" s="52">
        <v>70001</v>
      </c>
      <c r="K20" s="51">
        <v>0.44</v>
      </c>
      <c r="L20" s="76">
        <v>0.88</v>
      </c>
    </row>
    <row r="21" spans="2:12">
      <c r="C21" s="63" t="s">
        <v>15</v>
      </c>
      <c r="D21" s="75">
        <v>5.484</v>
      </c>
      <c r="E21" s="75">
        <v>10.968</v>
      </c>
      <c r="J21" s="52">
        <v>80001</v>
      </c>
      <c r="K21" s="51">
        <v>0.44500000000000001</v>
      </c>
      <c r="L21" s="76">
        <v>0.89</v>
      </c>
    </row>
    <row r="22" spans="2:12">
      <c r="C22" s="63" t="s">
        <v>16</v>
      </c>
      <c r="D22" s="75">
        <v>5.484</v>
      </c>
      <c r="E22" s="75">
        <v>10.968</v>
      </c>
      <c r="J22" s="54">
        <v>100000</v>
      </c>
      <c r="K22" s="55">
        <v>0.45</v>
      </c>
      <c r="L22" s="77">
        <v>0.9</v>
      </c>
    </row>
    <row r="23" spans="2:12">
      <c r="C23" s="63" t="s">
        <v>17</v>
      </c>
      <c r="D23" s="75">
        <v>5.484</v>
      </c>
      <c r="E23" s="75">
        <v>10.968</v>
      </c>
    </row>
    <row r="24" spans="2:12">
      <c r="C24" s="63" t="s">
        <v>18</v>
      </c>
      <c r="D24" s="75">
        <v>5.484</v>
      </c>
      <c r="E24" s="75">
        <v>10.968</v>
      </c>
    </row>
    <row r="25" spans="2:12">
      <c r="C25" s="63" t="s">
        <v>19</v>
      </c>
      <c r="D25" s="75">
        <v>5.484</v>
      </c>
      <c r="E25" s="75">
        <v>10.968</v>
      </c>
    </row>
    <row r="26" spans="2:12">
      <c r="C26" s="63" t="s">
        <v>20</v>
      </c>
      <c r="D26" s="75">
        <v>5.484</v>
      </c>
      <c r="E26" s="75">
        <v>10.968</v>
      </c>
    </row>
    <row r="27" spans="2:12">
      <c r="C27" s="63" t="s">
        <v>21</v>
      </c>
      <c r="D27" s="75">
        <v>5.484</v>
      </c>
      <c r="E27" s="75">
        <v>10.968</v>
      </c>
    </row>
    <row r="28" spans="2:12">
      <c r="C28" s="63" t="s">
        <v>22</v>
      </c>
      <c r="D28" s="75">
        <v>5.484</v>
      </c>
      <c r="E28" s="75">
        <v>10.968</v>
      </c>
    </row>
    <row r="29" spans="2:12">
      <c r="C29" s="63" t="s">
        <v>23</v>
      </c>
      <c r="D29" s="75">
        <v>5.484</v>
      </c>
      <c r="E29" s="75">
        <v>10.968</v>
      </c>
    </row>
    <row r="30" spans="2:12">
      <c r="C30" s="63" t="s">
        <v>24</v>
      </c>
      <c r="D30" s="75">
        <v>5.484</v>
      </c>
      <c r="E30" s="75">
        <v>10.968</v>
      </c>
    </row>
    <row r="31" spans="2:12">
      <c r="C31" s="65" t="s">
        <v>25</v>
      </c>
      <c r="D31" s="75">
        <v>5.484</v>
      </c>
      <c r="E31" s="75">
        <v>10.968</v>
      </c>
    </row>
    <row r="33" spans="2:5">
      <c r="B33" t="s">
        <v>246</v>
      </c>
      <c r="C33" s="61" t="s">
        <v>7</v>
      </c>
      <c r="D33" s="71" t="s">
        <v>224</v>
      </c>
      <c r="E33" s="71" t="s">
        <v>225</v>
      </c>
    </row>
    <row r="34" spans="2:5">
      <c r="C34" s="63" t="s">
        <v>13</v>
      </c>
      <c r="D34" s="75">
        <v>7.95</v>
      </c>
      <c r="E34" s="75">
        <v>7.95</v>
      </c>
    </row>
    <row r="35" spans="2:5">
      <c r="C35" s="63" t="s">
        <v>15</v>
      </c>
      <c r="D35" s="75">
        <v>7.95</v>
      </c>
      <c r="E35" s="75">
        <v>7.95</v>
      </c>
    </row>
    <row r="36" spans="2:5">
      <c r="C36" s="63" t="s">
        <v>16</v>
      </c>
      <c r="D36" s="75">
        <v>7.95</v>
      </c>
      <c r="E36" s="75">
        <v>7.95</v>
      </c>
    </row>
    <row r="37" spans="2:5">
      <c r="C37" s="63" t="s">
        <v>17</v>
      </c>
      <c r="D37" s="75">
        <v>7.95</v>
      </c>
      <c r="E37" s="75">
        <v>7.95</v>
      </c>
    </row>
    <row r="38" spans="2:5">
      <c r="C38" s="63" t="s">
        <v>18</v>
      </c>
      <c r="D38" s="75">
        <v>7.95</v>
      </c>
      <c r="E38" s="75">
        <v>7.95</v>
      </c>
    </row>
    <row r="39" spans="2:5">
      <c r="C39" s="63" t="s">
        <v>19</v>
      </c>
      <c r="D39" s="75">
        <v>7.95</v>
      </c>
      <c r="E39" s="75">
        <v>7.95</v>
      </c>
    </row>
    <row r="40" spans="2:5">
      <c r="C40" s="63" t="s">
        <v>20</v>
      </c>
      <c r="D40" s="75">
        <v>7.95</v>
      </c>
      <c r="E40" s="75">
        <v>7.95</v>
      </c>
    </row>
    <row r="41" spans="2:5">
      <c r="C41" s="63" t="s">
        <v>21</v>
      </c>
      <c r="D41" s="75">
        <v>7.95</v>
      </c>
      <c r="E41" s="75">
        <v>7.95</v>
      </c>
    </row>
    <row r="42" spans="2:5">
      <c r="C42" s="63" t="s">
        <v>22</v>
      </c>
      <c r="D42" s="75">
        <v>7.95</v>
      </c>
      <c r="E42" s="75">
        <v>7.95</v>
      </c>
    </row>
    <row r="43" spans="2:5">
      <c r="C43" s="63" t="s">
        <v>23</v>
      </c>
      <c r="D43" s="75">
        <v>7.95</v>
      </c>
      <c r="E43" s="75">
        <v>7.95</v>
      </c>
    </row>
    <row r="44" spans="2:5">
      <c r="C44" s="63" t="s">
        <v>24</v>
      </c>
      <c r="D44" s="75">
        <v>7.95</v>
      </c>
      <c r="E44" s="75">
        <v>7.95</v>
      </c>
    </row>
    <row r="45" spans="2:5">
      <c r="C45" s="65" t="s">
        <v>25</v>
      </c>
      <c r="D45" s="75">
        <v>7.95</v>
      </c>
      <c r="E45" s="75">
        <v>7.95</v>
      </c>
    </row>
  </sheetData>
  <sheetProtection algorithmName="SHA-512" hashValue="vRZj7bXLFrhPpTkoiXHZl3E0WrW6gn1MZpqFSGK3KZUoUlfU90kd2fTyFD+2zsFzSCrZ++ZdP6nrw0yp28KqFw==" saltValue="057Ti0scpuF5/k8wNtCHO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DF63-DE81-4F85-9BDC-EA50AD8FA45A}">
  <dimension ref="A1:P20"/>
  <sheetViews>
    <sheetView workbookViewId="0">
      <selection activeCell="J3" sqref="J3"/>
    </sheetView>
  </sheetViews>
  <sheetFormatPr defaultRowHeight="15"/>
  <cols>
    <col min="3" max="3" width="10.85546875" bestFit="1" customWidth="1"/>
    <col min="4" max="4" width="20" customWidth="1"/>
    <col min="5" max="5" width="19.5703125" customWidth="1"/>
    <col min="6" max="6" width="34.28515625" customWidth="1"/>
    <col min="7" max="7" width="16.42578125" bestFit="1" customWidth="1"/>
    <col min="8" max="8" width="12.140625" customWidth="1"/>
    <col min="9" max="10" width="12.42578125" customWidth="1"/>
    <col min="11" max="11" width="11.5703125" bestFit="1" customWidth="1"/>
    <col min="12" max="12" width="10.5703125" bestFit="1" customWidth="1"/>
    <col min="13" max="13" width="9.5703125" bestFit="1" customWidth="1"/>
    <col min="14" max="14" width="14.42578125" customWidth="1"/>
    <col min="15" max="15" width="12.140625" customWidth="1"/>
  </cols>
  <sheetData>
    <row r="1" spans="1:16" ht="15.75">
      <c r="A1" s="23" t="s">
        <v>253</v>
      </c>
    </row>
    <row r="2" spans="1:16" ht="15.75" thickBot="1">
      <c r="K2" s="1"/>
      <c r="L2" s="1"/>
      <c r="M2" s="1"/>
      <c r="N2" s="1"/>
    </row>
    <row r="3" spans="1:16" ht="14.25" customHeight="1">
      <c r="C3" s="61" t="s">
        <v>7</v>
      </c>
      <c r="D3" s="71" t="s">
        <v>224</v>
      </c>
      <c r="E3" s="71" t="s">
        <v>225</v>
      </c>
      <c r="F3" s="71" t="s">
        <v>254</v>
      </c>
      <c r="G3" s="62" t="s">
        <v>236</v>
      </c>
      <c r="I3" s="57" t="s">
        <v>250</v>
      </c>
      <c r="J3" s="58" t="s">
        <v>251</v>
      </c>
      <c r="M3" s="2"/>
      <c r="N3" s="2"/>
    </row>
    <row r="4" spans="1:16" ht="14.25" customHeight="1">
      <c r="C4" s="63" t="s">
        <v>13</v>
      </c>
      <c r="D4" s="75">
        <v>9.32</v>
      </c>
      <c r="E4" s="75">
        <v>13.98</v>
      </c>
      <c r="F4" s="49">
        <f>INDEX($J$3:$J$10, MATCH(DASHBOARD!$C$18,$I$3:$I$10,1))</f>
        <v>5.0000000000000001E-3</v>
      </c>
      <c r="G4" s="72">
        <f>10*31</f>
        <v>310</v>
      </c>
      <c r="I4" s="52">
        <v>0</v>
      </c>
      <c r="J4" s="53">
        <v>0</v>
      </c>
      <c r="L4" s="28"/>
      <c r="M4" s="28"/>
    </row>
    <row r="5" spans="1:16" ht="12" customHeight="1">
      <c r="C5" s="63" t="s">
        <v>15</v>
      </c>
      <c r="D5" s="75">
        <v>9.32</v>
      </c>
      <c r="E5" s="75">
        <v>13.98</v>
      </c>
      <c r="F5" s="49">
        <f>INDEX($J$3:$J$10, MATCH(DASHBOARD!$C$18,$I$3:$I$10,1))</f>
        <v>5.0000000000000001E-3</v>
      </c>
      <c r="G5" s="72">
        <f>10*31</f>
        <v>310</v>
      </c>
      <c r="I5" s="52">
        <v>1000001</v>
      </c>
      <c r="J5" s="53">
        <v>5.0000000000000001E-3</v>
      </c>
      <c r="K5" s="3"/>
      <c r="L5" s="28"/>
      <c r="M5" s="28"/>
      <c r="P5" s="28"/>
    </row>
    <row r="6" spans="1:16">
      <c r="C6" s="63" t="s">
        <v>16</v>
      </c>
      <c r="D6" s="75">
        <v>6.3</v>
      </c>
      <c r="E6" s="75">
        <v>9.4499999999999993</v>
      </c>
      <c r="F6" s="49">
        <f>INDEX($J$3:$J$10, MATCH(DASHBOARD!$C$18,$I$3:$I$10,1))</f>
        <v>5.0000000000000001E-3</v>
      </c>
      <c r="G6" s="72">
        <f>10*30</f>
        <v>300</v>
      </c>
      <c r="I6" s="52">
        <v>2000001</v>
      </c>
      <c r="J6" s="53">
        <v>0.01</v>
      </c>
      <c r="K6" s="3"/>
      <c r="L6" s="28"/>
      <c r="M6" s="28"/>
      <c r="P6" s="28"/>
    </row>
    <row r="7" spans="1:16">
      <c r="C7" s="63" t="s">
        <v>17</v>
      </c>
      <c r="D7" s="75">
        <v>5.94</v>
      </c>
      <c r="E7" s="75">
        <v>8.91</v>
      </c>
      <c r="F7" s="49">
        <f>INDEX($J$3:$J$10, MATCH(DASHBOARD!$C$18,$I$3:$I$10,1))</f>
        <v>5.0000000000000001E-3</v>
      </c>
      <c r="G7" s="72">
        <f>10*31</f>
        <v>310</v>
      </c>
      <c r="I7" s="52">
        <v>3000001</v>
      </c>
      <c r="J7" s="53">
        <v>1.4999999999999999E-2</v>
      </c>
      <c r="K7" s="3"/>
      <c r="L7" s="28"/>
      <c r="M7" s="28"/>
      <c r="P7" s="28"/>
    </row>
    <row r="8" spans="1:16">
      <c r="C8" s="63" t="s">
        <v>18</v>
      </c>
      <c r="D8" s="75">
        <v>5.94</v>
      </c>
      <c r="E8" s="75">
        <v>8.91</v>
      </c>
      <c r="F8" s="49">
        <f>INDEX($J$3:$J$10, MATCH(DASHBOARD!$C$18,$I$3:$I$10,1))</f>
        <v>5.0000000000000001E-3</v>
      </c>
      <c r="G8" s="72">
        <f>10*30</f>
        <v>300</v>
      </c>
      <c r="I8" s="52">
        <v>5000001</v>
      </c>
      <c r="J8" s="53">
        <v>0.02</v>
      </c>
      <c r="K8" s="3"/>
      <c r="L8" s="28"/>
      <c r="M8" s="28"/>
      <c r="P8" s="28"/>
    </row>
    <row r="9" spans="1:16">
      <c r="C9" s="63" t="s">
        <v>19</v>
      </c>
      <c r="D9" s="75">
        <v>5.94</v>
      </c>
      <c r="E9" s="75">
        <v>8.91</v>
      </c>
      <c r="F9" s="49">
        <f>INDEX($J$3:$J$10, MATCH(DASHBOARD!$C$18,$I$3:$I$10,1))</f>
        <v>5.0000000000000001E-3</v>
      </c>
      <c r="G9" s="72">
        <f>10*31</f>
        <v>310</v>
      </c>
      <c r="I9" s="52">
        <v>7000001</v>
      </c>
      <c r="J9" s="53">
        <v>2.5000000000000001E-2</v>
      </c>
      <c r="K9" s="3"/>
      <c r="L9" s="28"/>
      <c r="P9" s="28"/>
    </row>
    <row r="10" spans="1:16" ht="15.75" thickBot="1">
      <c r="C10" s="63" t="s">
        <v>20</v>
      </c>
      <c r="D10" s="75">
        <v>6.5</v>
      </c>
      <c r="E10" s="75">
        <v>9.75</v>
      </c>
      <c r="F10" s="49">
        <f>INDEX($J$3:$J$10, MATCH(DASHBOARD!$C$18,$I$3:$I$10,1))</f>
        <v>5.0000000000000001E-3</v>
      </c>
      <c r="G10" s="72">
        <f>10*31</f>
        <v>310</v>
      </c>
      <c r="I10" s="54">
        <v>10000001</v>
      </c>
      <c r="J10" s="56">
        <v>0.03</v>
      </c>
      <c r="K10" s="3"/>
      <c r="L10" s="28"/>
      <c r="P10" s="28"/>
    </row>
    <row r="11" spans="1:16">
      <c r="C11" s="63" t="s">
        <v>21</v>
      </c>
      <c r="D11" s="75">
        <v>7.16</v>
      </c>
      <c r="E11" s="75">
        <v>10.74</v>
      </c>
      <c r="F11" s="49">
        <f>INDEX($J$3:$J$10, MATCH(DASHBOARD!$C$18,$I$3:$I$10,1))</f>
        <v>5.0000000000000001E-3</v>
      </c>
      <c r="G11" s="72">
        <f>10*28</f>
        <v>280</v>
      </c>
      <c r="K11" s="3"/>
      <c r="L11" s="28"/>
      <c r="P11" s="28"/>
    </row>
    <row r="12" spans="1:16">
      <c r="C12" s="63" t="s">
        <v>22</v>
      </c>
      <c r="D12" s="75">
        <v>7.8</v>
      </c>
      <c r="E12" s="75">
        <v>11.7</v>
      </c>
      <c r="F12" s="49">
        <f>INDEX($J$3:$J$10, MATCH(DASHBOARD!$C$18,$I$3:$I$10,1))</f>
        <v>5.0000000000000001E-3</v>
      </c>
      <c r="G12" s="72">
        <f>10*31</f>
        <v>310</v>
      </c>
      <c r="K12" s="3"/>
      <c r="L12" s="28"/>
      <c r="P12" s="28"/>
    </row>
    <row r="13" spans="1:16">
      <c r="C13" s="63" t="s">
        <v>23</v>
      </c>
      <c r="D13" s="75">
        <v>8.98</v>
      </c>
      <c r="E13" s="75">
        <v>13.47</v>
      </c>
      <c r="F13" s="49">
        <f>INDEX($J$3:$J$10, MATCH(DASHBOARD!$C$18,$I$3:$I$10,1))</f>
        <v>5.0000000000000001E-3</v>
      </c>
      <c r="G13" s="72">
        <f>10*30</f>
        <v>300</v>
      </c>
      <c r="K13" s="3"/>
      <c r="L13" s="28"/>
      <c r="P13" s="28"/>
    </row>
    <row r="14" spans="1:16">
      <c r="C14" s="63" t="s">
        <v>24</v>
      </c>
      <c r="D14" s="75">
        <v>8.98</v>
      </c>
      <c r="E14" s="75">
        <v>13.47</v>
      </c>
      <c r="F14" s="49">
        <f>INDEX($J$3:$J$10, MATCH(DASHBOARD!$C$18,$I$3:$I$10,1))</f>
        <v>5.0000000000000001E-3</v>
      </c>
      <c r="G14" s="72">
        <f>10*31</f>
        <v>310</v>
      </c>
      <c r="K14" s="3"/>
      <c r="L14" s="28"/>
      <c r="P14" s="28"/>
    </row>
    <row r="15" spans="1:16" ht="15.75" thickBot="1">
      <c r="C15" s="65" t="s">
        <v>25</v>
      </c>
      <c r="D15" s="79">
        <v>9.1999999999999993</v>
      </c>
      <c r="E15" s="79">
        <v>13.8</v>
      </c>
      <c r="F15" s="74">
        <f>INDEX($J$3:$J$10, MATCH(DASHBOARD!$C$18,$I$3:$I$10,1))</f>
        <v>5.0000000000000001E-3</v>
      </c>
      <c r="G15" s="73">
        <f>10*31</f>
        <v>310</v>
      </c>
      <c r="K15" s="2"/>
      <c r="L15" s="28"/>
      <c r="P15" s="28"/>
    </row>
    <row r="16" spans="1:16">
      <c r="E16" s="28"/>
      <c r="K16" s="3"/>
      <c r="L16" s="28"/>
      <c r="P16" s="28"/>
    </row>
    <row r="17" spans="3:16">
      <c r="C17" t="s">
        <v>26</v>
      </c>
      <c r="E17" s="28"/>
      <c r="G17" s="34" t="s">
        <v>241</v>
      </c>
      <c r="L17" s="28"/>
      <c r="P17" s="28"/>
    </row>
    <row r="18" spans="3:16">
      <c r="L18" s="28"/>
      <c r="P18" s="28"/>
    </row>
    <row r="19" spans="3:16">
      <c r="L19" s="28"/>
      <c r="P19" s="28"/>
    </row>
    <row r="20" spans="3:16">
      <c r="L20" s="28"/>
      <c r="P20" s="28"/>
    </row>
  </sheetData>
  <sheetProtection algorithmName="SHA-512" hashValue="bUEM6JLgtDH39C7TPB3N+4CCaigaWN+O8icXKN+eWX9aKjeCzftcRt4oBGOmCmwdpcl8YN+72a9/y6CzCDXNmw==" saltValue="qjWzXWrpU7kFG8PmgWPWNQ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6949-7B75-4F8A-B718-2E5F6DCDD263}">
  <dimension ref="A1:J18"/>
  <sheetViews>
    <sheetView workbookViewId="0">
      <selection activeCell="H11" sqref="H11"/>
    </sheetView>
  </sheetViews>
  <sheetFormatPr defaultRowHeight="15"/>
  <cols>
    <col min="1" max="1" width="75.28515625" customWidth="1"/>
    <col min="3" max="3" width="13.42578125" bestFit="1" customWidth="1"/>
    <col min="4" max="4" width="17.140625" customWidth="1"/>
    <col min="5" max="5" width="16.28515625" customWidth="1"/>
    <col min="6" max="6" width="17.42578125" customWidth="1"/>
    <col min="7" max="7" width="20.28515625" customWidth="1"/>
  </cols>
  <sheetData>
    <row r="1" spans="1:10">
      <c r="A1" t="s">
        <v>255</v>
      </c>
      <c r="C1" t="s">
        <v>256</v>
      </c>
      <c r="I1" t="s">
        <v>257</v>
      </c>
      <c r="J1" t="s">
        <v>258</v>
      </c>
    </row>
    <row r="2" spans="1:10" ht="15.75" thickBot="1"/>
    <row r="3" spans="1:10" ht="30">
      <c r="C3" s="61" t="s">
        <v>7</v>
      </c>
      <c r="D3" s="71" t="s">
        <v>259</v>
      </c>
      <c r="E3" s="71" t="s">
        <v>260</v>
      </c>
      <c r="F3" s="71" t="s">
        <v>261</v>
      </c>
      <c r="G3" s="62" t="s">
        <v>262</v>
      </c>
    </row>
    <row r="4" spans="1:10">
      <c r="C4" s="63" t="s">
        <v>13</v>
      </c>
      <c r="D4" s="67">
        <v>0.65</v>
      </c>
      <c r="E4" s="68">
        <f>((DASHBOARD!$D5-3.8)/0.01)*0.00075</f>
        <v>1.5000000000000013E-2</v>
      </c>
      <c r="F4" s="68">
        <f>((DASHBOARD!$E5-3.2)/0.01)*0.0005</f>
        <v>0</v>
      </c>
      <c r="G4" s="72">
        <f>0.03</f>
        <v>0.03</v>
      </c>
    </row>
    <row r="5" spans="1:10">
      <c r="C5" s="63" t="s">
        <v>15</v>
      </c>
      <c r="D5" s="67">
        <v>0.65</v>
      </c>
      <c r="E5" s="68">
        <f>((DASHBOARD!$D6-3.8)/0.01)*0.00075</f>
        <v>1.5000000000000013E-2</v>
      </c>
      <c r="F5" s="68">
        <f>((DASHBOARD!$E6-3.2)/0.01)*0.0005</f>
        <v>0</v>
      </c>
      <c r="G5" s="72">
        <f t="shared" ref="G5:G15" si="0">0.03</f>
        <v>0.03</v>
      </c>
    </row>
    <row r="6" spans="1:10">
      <c r="C6" s="63" t="s">
        <v>16</v>
      </c>
      <c r="D6" s="67">
        <v>0.54</v>
      </c>
      <c r="E6" s="68">
        <f>((DASHBOARD!$D7-3.8)/0.01)*0.00075</f>
        <v>1.5000000000000013E-2</v>
      </c>
      <c r="F6" s="68">
        <f>((DASHBOARD!$E7-3.2)/0.01)*0.0005</f>
        <v>0</v>
      </c>
      <c r="G6" s="72">
        <f t="shared" si="0"/>
        <v>0.03</v>
      </c>
    </row>
    <row r="7" spans="1:10">
      <c r="C7" s="63" t="s">
        <v>17</v>
      </c>
      <c r="D7" s="67">
        <v>0.56000000000000005</v>
      </c>
      <c r="E7" s="68">
        <f>((DASHBOARD!$D8-3.8)/0.01)*0.00075</f>
        <v>1.5000000000000013E-2</v>
      </c>
      <c r="F7" s="68">
        <f>((DASHBOARD!$E8-3.2)/0.01)*0.0005</f>
        <v>0</v>
      </c>
      <c r="G7" s="72">
        <f t="shared" si="0"/>
        <v>0.03</v>
      </c>
    </row>
    <row r="8" spans="1:10">
      <c r="C8" s="63" t="s">
        <v>18</v>
      </c>
      <c r="D8" s="67">
        <v>0.57999999999999996</v>
      </c>
      <c r="E8" s="68">
        <f>((DASHBOARD!$D9-3.8)/0.01)*0.00075</f>
        <v>1.5000000000000013E-2</v>
      </c>
      <c r="F8" s="68">
        <f>((DASHBOARD!$E9-3.2)/0.01)*0.0005</f>
        <v>0</v>
      </c>
      <c r="G8" s="72">
        <f t="shared" si="0"/>
        <v>0.03</v>
      </c>
    </row>
    <row r="9" spans="1:10">
      <c r="C9" s="63" t="s">
        <v>19</v>
      </c>
      <c r="D9" s="67">
        <v>0.72</v>
      </c>
      <c r="E9" s="68">
        <f>((DASHBOARD!$D10-3.8)/0.01)*0.00075</f>
        <v>1.5000000000000013E-2</v>
      </c>
      <c r="F9" s="68">
        <f>((DASHBOARD!$E10-3.2)/0.01)*0.0005</f>
        <v>0</v>
      </c>
      <c r="G9" s="72">
        <f t="shared" si="0"/>
        <v>0.03</v>
      </c>
    </row>
    <row r="10" spans="1:10">
      <c r="C10" s="63" t="s">
        <v>20</v>
      </c>
      <c r="D10" s="67">
        <v>0.78</v>
      </c>
      <c r="E10" s="68">
        <f>((DASHBOARD!$D11-3.8)/0.01)*0.00075</f>
        <v>1.5000000000000013E-2</v>
      </c>
      <c r="F10" s="68">
        <f>((DASHBOARD!$E11-3.2)/0.01)*0.0005</f>
        <v>0</v>
      </c>
      <c r="G10" s="72">
        <f t="shared" si="0"/>
        <v>0.03</v>
      </c>
    </row>
    <row r="11" spans="1:10">
      <c r="C11" s="63" t="s">
        <v>21</v>
      </c>
      <c r="D11" s="67">
        <v>0.78</v>
      </c>
      <c r="E11" s="68">
        <f>((DASHBOARD!$D12-3.8)/0.01)*0.00075</f>
        <v>1.5000000000000013E-2</v>
      </c>
      <c r="F11" s="68">
        <f>((DASHBOARD!$E12-3.2)/0.01)*0.0005</f>
        <v>0</v>
      </c>
      <c r="G11" s="72">
        <f t="shared" si="0"/>
        <v>0.03</v>
      </c>
    </row>
    <row r="12" spans="1:10">
      <c r="C12" s="63" t="s">
        <v>22</v>
      </c>
      <c r="D12" s="67">
        <v>0.78</v>
      </c>
      <c r="E12" s="68">
        <f>((DASHBOARD!$D13-3.8)/0.01)*0.00075</f>
        <v>1.5000000000000013E-2</v>
      </c>
      <c r="F12" s="68">
        <f>((DASHBOARD!$E13-3.2)/0.01)*0.0005</f>
        <v>0</v>
      </c>
      <c r="G12" s="72">
        <f t="shared" si="0"/>
        <v>0.03</v>
      </c>
    </row>
    <row r="13" spans="1:10">
      <c r="C13" s="63" t="s">
        <v>23</v>
      </c>
      <c r="D13" s="67">
        <v>0.74</v>
      </c>
      <c r="E13" s="68">
        <f>((DASHBOARD!$D14-3.8)/0.01)*0.00075</f>
        <v>1.5000000000000013E-2</v>
      </c>
      <c r="F13" s="68">
        <f>((DASHBOARD!$E14-3.2)/0.01)*0.0005</f>
        <v>0</v>
      </c>
      <c r="G13" s="72">
        <f t="shared" si="0"/>
        <v>0.03</v>
      </c>
    </row>
    <row r="14" spans="1:10">
      <c r="C14" s="63" t="s">
        <v>24</v>
      </c>
      <c r="D14" s="67">
        <v>0.71499999999999997</v>
      </c>
      <c r="E14" s="68">
        <f>((DASHBOARD!$D15-3.8)/0.01)*0.00075</f>
        <v>1.5000000000000013E-2</v>
      </c>
      <c r="F14" s="68">
        <f>((DASHBOARD!$E15-3.2)/0.01)*0.0005</f>
        <v>0</v>
      </c>
      <c r="G14" s="72">
        <f t="shared" si="0"/>
        <v>0.03</v>
      </c>
    </row>
    <row r="15" spans="1:10" ht="15.75" thickBot="1">
      <c r="C15" s="65" t="s">
        <v>25</v>
      </c>
      <c r="D15" s="69">
        <v>0.71499999999999997</v>
      </c>
      <c r="E15" s="70">
        <f>((DASHBOARD!$D16-3.8)/0.01)*0.00075</f>
        <v>1.5000000000000013E-2</v>
      </c>
      <c r="F15" s="70">
        <f>((DASHBOARD!$E16-3.2)/0.01)*0.0005</f>
        <v>0</v>
      </c>
      <c r="G15" s="73">
        <f t="shared" si="0"/>
        <v>0.03</v>
      </c>
    </row>
    <row r="17" spans="3:7">
      <c r="C17" t="s">
        <v>26</v>
      </c>
    </row>
    <row r="18" spans="3:7">
      <c r="G18" s="34" t="s">
        <v>241</v>
      </c>
    </row>
  </sheetData>
  <sheetProtection algorithmName="SHA-512" hashValue="ueFaBfhHrlVoMksvlLOQhgaqRzzQUZpO8SjWqehwnJ54iNfm/M6mGBiaBheO/W+f1hYem0Ox31hQNODigWPi0w==" saltValue="ckS6fEugN3QABIkSJ8pt0g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6E04-EC51-44D7-A51A-658D4F6DFB93}">
  <dimension ref="A1:N28"/>
  <sheetViews>
    <sheetView workbookViewId="0">
      <selection activeCell="F13" sqref="F13"/>
    </sheetView>
  </sheetViews>
  <sheetFormatPr defaultRowHeight="15"/>
  <cols>
    <col min="2" max="2" width="10.85546875" bestFit="1" customWidth="1"/>
    <col min="3" max="3" width="19.140625" bestFit="1" customWidth="1"/>
    <col min="6" max="7" width="12" bestFit="1" customWidth="1"/>
    <col min="8" max="8" width="4.5703125" bestFit="1" customWidth="1"/>
    <col min="9" max="9" width="19.140625" bestFit="1" customWidth="1"/>
    <col min="14" max="14" width="22.85546875" bestFit="1" customWidth="1"/>
    <col min="19" max="20" width="12" bestFit="1" customWidth="1"/>
    <col min="21" max="21" width="4.5703125" bestFit="1" customWidth="1"/>
    <col min="22" max="22" width="18.85546875" bestFit="1" customWidth="1"/>
  </cols>
  <sheetData>
    <row r="1" spans="1:14" ht="15.75" thickBot="1"/>
    <row r="2" spans="1:14">
      <c r="A2" s="136" t="s">
        <v>263</v>
      </c>
      <c r="B2" s="61" t="s">
        <v>7</v>
      </c>
      <c r="C2" s="62" t="s">
        <v>264</v>
      </c>
      <c r="F2" s="57" t="s">
        <v>265</v>
      </c>
      <c r="G2" s="60" t="s">
        <v>266</v>
      </c>
      <c r="H2" s="60" t="s">
        <v>267</v>
      </c>
      <c r="I2" s="58" t="s">
        <v>264</v>
      </c>
    </row>
    <row r="3" spans="1:14">
      <c r="B3" s="63" t="s">
        <v>13</v>
      </c>
      <c r="C3" s="64">
        <f t="shared" ref="C3:C14" si="0">$I$13</f>
        <v>8.65</v>
      </c>
      <c r="F3" s="52" t="s">
        <v>268</v>
      </c>
      <c r="G3" s="51">
        <v>49</v>
      </c>
      <c r="H3" s="51" t="s">
        <v>269</v>
      </c>
      <c r="I3" s="53">
        <v>8.65</v>
      </c>
    </row>
    <row r="4" spans="1:14">
      <c r="B4" s="63" t="s">
        <v>15</v>
      </c>
      <c r="C4" s="64">
        <f t="shared" si="0"/>
        <v>8.65</v>
      </c>
      <c r="F4" s="52" t="s">
        <v>270</v>
      </c>
      <c r="G4" s="51">
        <v>49</v>
      </c>
      <c r="H4" s="51" t="s">
        <v>271</v>
      </c>
      <c r="I4" s="53">
        <v>8.4499999999999993</v>
      </c>
    </row>
    <row r="5" spans="1:14">
      <c r="B5" s="63" t="s">
        <v>16</v>
      </c>
      <c r="C5" s="64">
        <f t="shared" si="0"/>
        <v>8.65</v>
      </c>
      <c r="F5" s="52" t="s">
        <v>272</v>
      </c>
      <c r="G5" s="51">
        <v>44</v>
      </c>
      <c r="H5" s="51" t="s">
        <v>273</v>
      </c>
      <c r="I5" s="53">
        <v>8.4499999999999993</v>
      </c>
    </row>
    <row r="6" spans="1:14">
      <c r="B6" s="63" t="s">
        <v>17</v>
      </c>
      <c r="C6" s="64">
        <f t="shared" si="0"/>
        <v>8.65</v>
      </c>
      <c r="F6" s="52" t="s">
        <v>274</v>
      </c>
      <c r="G6" s="51">
        <v>44</v>
      </c>
      <c r="H6" s="51" t="s">
        <v>271</v>
      </c>
      <c r="I6" s="53">
        <v>8.25</v>
      </c>
    </row>
    <row r="7" spans="1:14">
      <c r="B7" s="63" t="s">
        <v>18</v>
      </c>
      <c r="C7" s="64">
        <f t="shared" si="0"/>
        <v>8.65</v>
      </c>
      <c r="F7" s="52" t="s">
        <v>275</v>
      </c>
      <c r="G7" s="51">
        <v>39</v>
      </c>
      <c r="H7" s="51" t="s">
        <v>276</v>
      </c>
      <c r="I7" s="53">
        <v>8.25</v>
      </c>
    </row>
    <row r="8" spans="1:14">
      <c r="B8" s="63" t="s">
        <v>19</v>
      </c>
      <c r="C8" s="64">
        <f t="shared" si="0"/>
        <v>8.65</v>
      </c>
      <c r="F8" s="52" t="s">
        <v>277</v>
      </c>
      <c r="G8" s="51">
        <v>39</v>
      </c>
      <c r="H8" s="51" t="s">
        <v>271</v>
      </c>
      <c r="I8" s="53">
        <v>8.0500000000000007</v>
      </c>
    </row>
    <row r="9" spans="1:14">
      <c r="B9" s="63" t="s">
        <v>20</v>
      </c>
      <c r="C9" s="64">
        <f t="shared" si="0"/>
        <v>8.65</v>
      </c>
      <c r="F9" s="52" t="s">
        <v>278</v>
      </c>
      <c r="G9" s="51">
        <v>0</v>
      </c>
      <c r="H9" s="51" t="s">
        <v>279</v>
      </c>
      <c r="I9" s="53">
        <v>8.0500000000000007</v>
      </c>
    </row>
    <row r="10" spans="1:14" ht="15.75" thickBot="1">
      <c r="B10" s="63" t="s">
        <v>21</v>
      </c>
      <c r="C10" s="64">
        <f t="shared" si="0"/>
        <v>8.65</v>
      </c>
      <c r="F10" s="54" t="s">
        <v>280</v>
      </c>
      <c r="G10" s="55">
        <v>0</v>
      </c>
      <c r="H10" s="55" t="s">
        <v>271</v>
      </c>
      <c r="I10" s="56">
        <v>7.85</v>
      </c>
    </row>
    <row r="11" spans="1:14" ht="15.75" thickBot="1">
      <c r="B11" s="63" t="s">
        <v>22</v>
      </c>
      <c r="C11" s="64">
        <f t="shared" si="0"/>
        <v>8.65</v>
      </c>
    </row>
    <row r="12" spans="1:14">
      <c r="B12" s="63" t="s">
        <v>23</v>
      </c>
      <c r="C12" s="64">
        <f t="shared" si="0"/>
        <v>8.65</v>
      </c>
      <c r="F12" s="57" t="s">
        <v>266</v>
      </c>
      <c r="G12" s="58" t="s">
        <v>267</v>
      </c>
      <c r="I12" s="59" t="s">
        <v>281</v>
      </c>
    </row>
    <row r="13" spans="1:14" ht="15.75" thickBot="1">
      <c r="B13" s="63" t="s">
        <v>24</v>
      </c>
      <c r="C13" s="64">
        <f t="shared" si="0"/>
        <v>8.65</v>
      </c>
      <c r="F13" s="50">
        <f>((((DASHBOARD!$F$6+DASHBOARD!$F$12)/2)+DASHBOARD!$F$13+DASHBOARD!$F$14+DASHBOARD!$F$15+DASHBOARD!$F$16+DASHBOARD!$F$5)*100)/DASHBOARD!$F$18</f>
        <v>50</v>
      </c>
      <c r="G13" s="47">
        <f>(DASHBOARD!$F$7+DASHBOARD!$F$8+DASHBOARD!$F$9)/(DASHBOARD!$F$12+DASHBOARD!$F$13+DASHBOARD!$F$14)</f>
        <v>1</v>
      </c>
      <c r="I13" s="48">
        <f>IF(AND(F13&gt;49,G13&lt;1.3),I3,IF(AND(F13&gt;=44,F13&lt;=49,G13&lt;=1.3),I5,IF(AND(F13&gt;=39,F13&lt;=44,G13&lt;1.8),I7, IF(AND(F13&lt;39,G13&lt;2),I9,I10))))</f>
        <v>8.65</v>
      </c>
    </row>
    <row r="14" spans="1:14" ht="15.75" thickBot="1">
      <c r="B14" s="65" t="s">
        <v>25</v>
      </c>
      <c r="C14" s="66">
        <f t="shared" si="0"/>
        <v>8.65</v>
      </c>
    </row>
    <row r="16" spans="1:14" ht="45.75">
      <c r="A16" s="136" t="s">
        <v>282</v>
      </c>
      <c r="B16" s="61" t="s">
        <v>7</v>
      </c>
      <c r="C16" s="62" t="s">
        <v>283</v>
      </c>
      <c r="D16" s="62" t="s">
        <v>284</v>
      </c>
      <c r="F16" s="57" t="s">
        <v>265</v>
      </c>
      <c r="G16" s="60" t="s">
        <v>266</v>
      </c>
      <c r="H16" s="60" t="s">
        <v>267</v>
      </c>
      <c r="I16" s="58" t="s">
        <v>285</v>
      </c>
      <c r="K16" s="57" t="s">
        <v>265</v>
      </c>
      <c r="L16" s="60" t="s">
        <v>266</v>
      </c>
      <c r="M16" s="60" t="s">
        <v>267</v>
      </c>
      <c r="N16" s="58" t="s">
        <v>284</v>
      </c>
    </row>
    <row r="17" spans="2:14">
      <c r="B17" s="63" t="s">
        <v>13</v>
      </c>
      <c r="C17" s="64">
        <f>$I$27</f>
        <v>5.9880000000000004</v>
      </c>
      <c r="D17" s="64">
        <f>$N$27</f>
        <v>11.977</v>
      </c>
      <c r="F17" s="52" t="s">
        <v>268</v>
      </c>
      <c r="G17" s="51">
        <v>49</v>
      </c>
      <c r="H17" s="51" t="s">
        <v>269</v>
      </c>
      <c r="I17" s="53">
        <v>5.9880000000000004</v>
      </c>
      <c r="K17" s="52" t="s">
        <v>268</v>
      </c>
      <c r="L17" s="51">
        <v>49</v>
      </c>
      <c r="M17" s="51" t="s">
        <v>269</v>
      </c>
      <c r="N17" s="53">
        <v>11.977</v>
      </c>
    </row>
    <row r="18" spans="2:14">
      <c r="B18" s="63" t="s">
        <v>15</v>
      </c>
      <c r="C18" s="64">
        <f t="shared" ref="C18:C28" si="1">$I$27</f>
        <v>5.9880000000000004</v>
      </c>
      <c r="D18" s="64">
        <f t="shared" ref="D18:D28" si="2">$N$27</f>
        <v>11.977</v>
      </c>
      <c r="F18" s="52" t="s">
        <v>270</v>
      </c>
      <c r="G18" s="51">
        <v>49</v>
      </c>
      <c r="H18" s="51" t="s">
        <v>271</v>
      </c>
      <c r="I18" s="53">
        <v>5.85</v>
      </c>
      <c r="K18" s="52" t="s">
        <v>270</v>
      </c>
      <c r="L18" s="51">
        <v>49</v>
      </c>
      <c r="M18" s="51" t="s">
        <v>271</v>
      </c>
      <c r="N18" s="53">
        <v>11.7</v>
      </c>
    </row>
    <row r="19" spans="2:14">
      <c r="B19" s="63" t="s">
        <v>16</v>
      </c>
      <c r="C19" s="64">
        <f t="shared" si="1"/>
        <v>5.9880000000000004</v>
      </c>
      <c r="D19" s="64">
        <f t="shared" si="2"/>
        <v>11.977</v>
      </c>
      <c r="F19" s="52" t="s">
        <v>272</v>
      </c>
      <c r="G19" s="51">
        <v>44</v>
      </c>
      <c r="H19" s="51" t="s">
        <v>273</v>
      </c>
      <c r="I19" s="53">
        <v>5.85</v>
      </c>
      <c r="K19" s="52" t="s">
        <v>272</v>
      </c>
      <c r="L19" s="51">
        <v>44</v>
      </c>
      <c r="M19" s="51" t="s">
        <v>273</v>
      </c>
      <c r="N19" s="53">
        <v>11.7</v>
      </c>
    </row>
    <row r="20" spans="2:14">
      <c r="B20" s="63" t="s">
        <v>17</v>
      </c>
      <c r="C20" s="64">
        <f t="shared" si="1"/>
        <v>5.9880000000000004</v>
      </c>
      <c r="D20" s="64">
        <f t="shared" si="2"/>
        <v>11.977</v>
      </c>
      <c r="F20" s="52" t="s">
        <v>274</v>
      </c>
      <c r="G20" s="51">
        <v>44</v>
      </c>
      <c r="H20" s="51" t="s">
        <v>271</v>
      </c>
      <c r="I20" s="53">
        <v>5.7119999999999997</v>
      </c>
      <c r="K20" s="52" t="s">
        <v>274</v>
      </c>
      <c r="L20" s="51">
        <v>44</v>
      </c>
      <c r="M20" s="51" t="s">
        <v>271</v>
      </c>
      <c r="N20" s="53">
        <v>11.423</v>
      </c>
    </row>
    <row r="21" spans="2:14">
      <c r="B21" s="63" t="s">
        <v>18</v>
      </c>
      <c r="C21" s="64">
        <f t="shared" si="1"/>
        <v>5.9880000000000004</v>
      </c>
      <c r="D21" s="64">
        <f t="shared" si="2"/>
        <v>11.977</v>
      </c>
      <c r="F21" s="52" t="s">
        <v>275</v>
      </c>
      <c r="G21" s="51">
        <v>39</v>
      </c>
      <c r="H21" s="51" t="s">
        <v>276</v>
      </c>
      <c r="I21" s="53">
        <v>5.7119999999999997</v>
      </c>
      <c r="K21" s="52" t="s">
        <v>275</v>
      </c>
      <c r="L21" s="51">
        <v>39</v>
      </c>
      <c r="M21" s="51" t="s">
        <v>276</v>
      </c>
      <c r="N21" s="53">
        <v>11.423</v>
      </c>
    </row>
    <row r="22" spans="2:14">
      <c r="B22" s="63" t="s">
        <v>19</v>
      </c>
      <c r="C22" s="64">
        <f t="shared" si="1"/>
        <v>5.9880000000000004</v>
      </c>
      <c r="D22" s="64">
        <f t="shared" si="2"/>
        <v>11.977</v>
      </c>
      <c r="F22" s="52" t="s">
        <v>277</v>
      </c>
      <c r="G22" s="51">
        <v>39</v>
      </c>
      <c r="H22" s="51" t="s">
        <v>271</v>
      </c>
      <c r="I22" s="53">
        <v>5.5730000000000004</v>
      </c>
      <c r="K22" s="52" t="s">
        <v>277</v>
      </c>
      <c r="L22" s="51">
        <v>39</v>
      </c>
      <c r="M22" s="51" t="s">
        <v>271</v>
      </c>
      <c r="N22" s="53">
        <v>11.146000000000001</v>
      </c>
    </row>
    <row r="23" spans="2:14">
      <c r="B23" s="63" t="s">
        <v>20</v>
      </c>
      <c r="C23" s="64">
        <f t="shared" si="1"/>
        <v>5.9880000000000004</v>
      </c>
      <c r="D23" s="64">
        <f t="shared" si="2"/>
        <v>11.977</v>
      </c>
      <c r="F23" s="52" t="s">
        <v>278</v>
      </c>
      <c r="G23" s="51">
        <v>0</v>
      </c>
      <c r="H23" s="51" t="s">
        <v>279</v>
      </c>
      <c r="I23" s="53">
        <v>5.5730000000000004</v>
      </c>
      <c r="K23" s="52" t="s">
        <v>278</v>
      </c>
      <c r="L23" s="51">
        <v>0</v>
      </c>
      <c r="M23" s="51" t="s">
        <v>279</v>
      </c>
      <c r="N23" s="53">
        <v>11.146000000000001</v>
      </c>
    </row>
    <row r="24" spans="2:14">
      <c r="B24" s="63" t="s">
        <v>21</v>
      </c>
      <c r="C24" s="64">
        <f t="shared" si="1"/>
        <v>5.9880000000000004</v>
      </c>
      <c r="D24" s="64">
        <f t="shared" si="2"/>
        <v>11.977</v>
      </c>
      <c r="F24" s="54" t="s">
        <v>280</v>
      </c>
      <c r="G24" s="55">
        <v>0</v>
      </c>
      <c r="H24" s="55" t="s">
        <v>271</v>
      </c>
      <c r="I24" s="56">
        <v>5.4349999999999996</v>
      </c>
      <c r="K24" s="54" t="s">
        <v>280</v>
      </c>
      <c r="L24" s="55">
        <v>0</v>
      </c>
      <c r="M24" s="55" t="s">
        <v>271</v>
      </c>
      <c r="N24" s="56">
        <v>10.869</v>
      </c>
    </row>
    <row r="25" spans="2:14">
      <c r="B25" s="63" t="s">
        <v>22</v>
      </c>
      <c r="C25" s="64">
        <f t="shared" si="1"/>
        <v>5.9880000000000004</v>
      </c>
      <c r="D25" s="64">
        <f t="shared" si="2"/>
        <v>11.977</v>
      </c>
    </row>
    <row r="26" spans="2:14">
      <c r="B26" s="63" t="s">
        <v>23</v>
      </c>
      <c r="C26" s="64">
        <f t="shared" si="1"/>
        <v>5.9880000000000004</v>
      </c>
      <c r="D26" s="64">
        <f t="shared" si="2"/>
        <v>11.977</v>
      </c>
      <c r="I26" s="59" t="s">
        <v>286</v>
      </c>
      <c r="N26" s="59" t="s">
        <v>287</v>
      </c>
    </row>
    <row r="27" spans="2:14">
      <c r="B27" s="63" t="s">
        <v>24</v>
      </c>
      <c r="C27" s="64">
        <f t="shared" si="1"/>
        <v>5.9880000000000004</v>
      </c>
      <c r="D27" s="64">
        <f t="shared" si="2"/>
        <v>11.977</v>
      </c>
      <c r="I27" s="48">
        <f>IF(AND(F13&gt;49,G13&lt;1.3),I17,IF(AND(F13&gt;=44,F13&lt;=49,G13&lt;=1.3),I19,IF(AND(F13&gt;=39,F13&lt;=44,G13&lt;1.8),I21, IF(AND(F13&lt;39,G13&lt;2),I23,I24))))</f>
        <v>5.9880000000000004</v>
      </c>
      <c r="N27" s="48">
        <f>IF(AND(F13&gt;49,G13&lt;1.3),N17,IF(AND(F13&gt;=44,F13&lt;=49,G13&lt;=1.3),N19,IF(AND(F13&gt;=39,F13&lt;=44,G13&lt;1.8),N21, IF(AND(F13&lt;39,G13&lt;2),N23,N24))))</f>
        <v>11.977</v>
      </c>
    </row>
    <row r="28" spans="2:14">
      <c r="B28" s="65" t="s">
        <v>25</v>
      </c>
      <c r="C28" s="64">
        <f t="shared" si="1"/>
        <v>5.9880000000000004</v>
      </c>
      <c r="D28" s="64">
        <f t="shared" si="2"/>
        <v>11.977</v>
      </c>
    </row>
  </sheetData>
  <sheetProtection algorithmName="SHA-512" hashValue="P+csf/mzMlxuaC9e3kd7TWLpDj9zC360jtL5zl7RWIMJfrTnhS80xEtVNjNEcJEFWozA+m3Q+IpqL1zmBcp5YQ==" saltValue="RZIwMKxcHKgrz4RlF6czqw==" spinCount="100000" sheet="1" objects="1" scenarios="1"/>
  <phoneticPr fontId="1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EBE7-2458-494A-BEF2-818D2E745E39}">
  <dimension ref="A1:P16"/>
  <sheetViews>
    <sheetView workbookViewId="0">
      <selection activeCell="I5" sqref="I5"/>
    </sheetView>
  </sheetViews>
  <sheetFormatPr defaultRowHeight="15"/>
  <cols>
    <col min="1" max="1" width="27.28515625" customWidth="1"/>
    <col min="2" max="2" width="10.85546875" bestFit="1" customWidth="1"/>
    <col min="5" max="5" width="12.28515625" customWidth="1"/>
    <col min="6" max="6" width="13.28515625" customWidth="1"/>
    <col min="10" max="10" width="12.140625" customWidth="1"/>
    <col min="11" max="11" width="14" customWidth="1"/>
  </cols>
  <sheetData>
    <row r="1" spans="1:16">
      <c r="F1" s="30"/>
      <c r="P1" s="30"/>
    </row>
    <row r="2" spans="1:16">
      <c r="A2" t="s">
        <v>288</v>
      </c>
    </row>
    <row r="3" spans="1:16" ht="15.75" thickBot="1"/>
    <row r="4" spans="1:16" ht="60">
      <c r="A4" s="22"/>
      <c r="B4" s="61" t="s">
        <v>7</v>
      </c>
      <c r="C4" s="71" t="s">
        <v>224</v>
      </c>
      <c r="D4" s="71" t="s">
        <v>225</v>
      </c>
      <c r="E4" s="71" t="s">
        <v>289</v>
      </c>
      <c r="F4" s="62" t="s">
        <v>290</v>
      </c>
      <c r="H4" s="61" t="s">
        <v>291</v>
      </c>
      <c r="I4" s="71" t="s">
        <v>292</v>
      </c>
      <c r="J4" s="62" t="s">
        <v>293</v>
      </c>
    </row>
    <row r="5" spans="1:16">
      <c r="B5" s="63" t="s">
        <v>13</v>
      </c>
      <c r="C5" s="51">
        <v>5.9850000000000003</v>
      </c>
      <c r="D5" s="51">
        <v>11.97</v>
      </c>
      <c r="E5" s="81">
        <f>INDEX($I$4:$I$16,MATCH(DASHBOARD!$F5,Burra!$H$4:$H$16,1))</f>
        <v>0.06</v>
      </c>
      <c r="F5" s="82">
        <f>INDEX($J$4:$J$16,MATCH(DASHBOARD!$F5,Burra!$H$4:$H$16,1))</f>
        <v>0.12</v>
      </c>
      <c r="H5" s="52">
        <v>0</v>
      </c>
      <c r="I5" s="51">
        <v>0</v>
      </c>
      <c r="J5" s="53">
        <v>0</v>
      </c>
    </row>
    <row r="6" spans="1:16">
      <c r="B6" s="63" t="s">
        <v>15</v>
      </c>
      <c r="C6" s="51">
        <v>5.2850000000000001</v>
      </c>
      <c r="D6" s="51">
        <v>10.57</v>
      </c>
      <c r="E6" s="81">
        <f>INDEX($I$4:$I$16,MATCH(DASHBOARD!$F6,Burra!$H$4:$H$16,1))</f>
        <v>0.06</v>
      </c>
      <c r="F6" s="82">
        <f>INDEX($J$4:$J$16,MATCH(DASHBOARD!$F6,Burra!$H$4:$H$16,1))</f>
        <v>0.12</v>
      </c>
      <c r="H6" s="52">
        <v>2001</v>
      </c>
      <c r="I6" s="51">
        <v>0.02</v>
      </c>
      <c r="J6" s="53">
        <f>I6*2</f>
        <v>0.04</v>
      </c>
    </row>
    <row r="7" spans="1:16">
      <c r="B7" s="63" t="s">
        <v>16</v>
      </c>
      <c r="C7" s="51">
        <v>5.1349999999999998</v>
      </c>
      <c r="D7" s="51">
        <v>10.27</v>
      </c>
      <c r="E7" s="81">
        <f>INDEX($I$4:$I$16,MATCH(DASHBOARD!$F7,Burra!$H$4:$H$16,1))</f>
        <v>0.06</v>
      </c>
      <c r="F7" s="82">
        <f>INDEX($J$4:$J$16,MATCH(DASHBOARD!$F7,Burra!$H$4:$H$16,1))</f>
        <v>0.12</v>
      </c>
      <c r="H7" s="52">
        <v>4001</v>
      </c>
      <c r="I7" s="51">
        <v>0.04</v>
      </c>
      <c r="J7" s="53">
        <f t="shared" ref="J7:J16" si="0">I7*2</f>
        <v>0.08</v>
      </c>
    </row>
    <row r="8" spans="1:16">
      <c r="B8" s="63" t="s">
        <v>17</v>
      </c>
      <c r="C8" s="51">
        <v>5.1349999999999998</v>
      </c>
      <c r="D8" s="51">
        <v>10.27</v>
      </c>
      <c r="E8" s="81">
        <f>INDEX($I$4:$I$16,MATCH(DASHBOARD!$F8,Burra!$H$4:$H$16,1))</f>
        <v>0.06</v>
      </c>
      <c r="F8" s="82">
        <f>INDEX($J$4:$J$16,MATCH(DASHBOARD!$F8,Burra!$H$4:$H$16,1))</f>
        <v>0.12</v>
      </c>
      <c r="H8" s="52">
        <v>6001</v>
      </c>
      <c r="I8" s="51">
        <v>0.06</v>
      </c>
      <c r="J8" s="53">
        <f t="shared" si="0"/>
        <v>0.12</v>
      </c>
    </row>
    <row r="9" spans="1:16">
      <c r="B9" s="63" t="s">
        <v>18</v>
      </c>
      <c r="C9" s="51">
        <v>5.1349999999999998</v>
      </c>
      <c r="D9" s="51">
        <v>10.27</v>
      </c>
      <c r="E9" s="81">
        <f>INDEX($I$4:$I$16,MATCH(DASHBOARD!$F9,Burra!$H$4:$H$16,1))</f>
        <v>0.06</v>
      </c>
      <c r="F9" s="82">
        <f>INDEX($J$4:$J$16,MATCH(DASHBOARD!$F9,Burra!$H$4:$H$16,1))</f>
        <v>0.12</v>
      </c>
      <c r="H9" s="52">
        <v>9001</v>
      </c>
      <c r="I9" s="51">
        <v>0.08</v>
      </c>
      <c r="J9" s="53">
        <f t="shared" si="0"/>
        <v>0.16</v>
      </c>
    </row>
    <row r="10" spans="1:16">
      <c r="B10" s="63" t="s">
        <v>19</v>
      </c>
      <c r="C10" s="51">
        <v>5.1349999999999998</v>
      </c>
      <c r="D10" s="51">
        <v>10.27</v>
      </c>
      <c r="E10" s="81">
        <f>INDEX($I$4:$I$16,MATCH(DASHBOARD!$F10,Burra!$H$4:$H$16,1))</f>
        <v>0.06</v>
      </c>
      <c r="F10" s="82">
        <f>INDEX($J$4:$J$16,MATCH(DASHBOARD!$F10,Burra!$H$4:$H$16,1))</f>
        <v>0.12</v>
      </c>
      <c r="H10" s="52">
        <v>12001</v>
      </c>
      <c r="I10" s="51">
        <v>0.1</v>
      </c>
      <c r="J10" s="53">
        <f t="shared" si="0"/>
        <v>0.2</v>
      </c>
    </row>
    <row r="11" spans="1:16">
      <c r="B11" s="63" t="s">
        <v>20</v>
      </c>
      <c r="C11" s="51">
        <v>5.3849999999999998</v>
      </c>
      <c r="D11" s="51">
        <v>10.77</v>
      </c>
      <c r="E11" s="81">
        <f>INDEX($I$4:$I$16,MATCH(DASHBOARD!$F11,Burra!$H$4:$H$16,1))</f>
        <v>0.06</v>
      </c>
      <c r="F11" s="82">
        <f>INDEX($J$4:$J$16,MATCH(DASHBOARD!$F11,Burra!$H$4:$H$16,1))</f>
        <v>0.12</v>
      </c>
      <c r="H11" s="52">
        <v>15001</v>
      </c>
      <c r="I11" s="51">
        <v>0.12</v>
      </c>
      <c r="J11" s="53">
        <f t="shared" si="0"/>
        <v>0.24</v>
      </c>
    </row>
    <row r="12" spans="1:16">
      <c r="B12" s="63" t="s">
        <v>21</v>
      </c>
      <c r="C12" s="51">
        <v>5.585</v>
      </c>
      <c r="D12" s="51">
        <v>11.17</v>
      </c>
      <c r="E12" s="81">
        <f>INDEX($I$4:$I$16,MATCH(DASHBOARD!$F12,Burra!$H$4:$H$16,1))</f>
        <v>0.06</v>
      </c>
      <c r="F12" s="82">
        <f>INDEX($J$4:$J$16,MATCH(DASHBOARD!$F12,Burra!$H$4:$H$16,1))</f>
        <v>0.12</v>
      </c>
      <c r="H12" s="52">
        <v>20001</v>
      </c>
      <c r="I12" s="51">
        <v>0.14000000000000001</v>
      </c>
      <c r="J12" s="53">
        <f t="shared" si="0"/>
        <v>0.28000000000000003</v>
      </c>
    </row>
    <row r="13" spans="1:16">
      <c r="B13" s="63" t="s">
        <v>22</v>
      </c>
      <c r="C13" s="51">
        <v>5.7850000000000001</v>
      </c>
      <c r="D13" s="51">
        <v>11.57</v>
      </c>
      <c r="E13" s="81">
        <f>INDEX($I$4:$I$16,MATCH(DASHBOARD!$F13,Burra!$H$4:$H$16,1))</f>
        <v>0.06</v>
      </c>
      <c r="F13" s="82">
        <f>INDEX($J$4:$J$16,MATCH(DASHBOARD!$F13,Burra!$H$4:$H$16,1))</f>
        <v>0.12</v>
      </c>
      <c r="H13" s="52">
        <v>25001</v>
      </c>
      <c r="I13" s="51">
        <v>0.16</v>
      </c>
      <c r="J13" s="53">
        <f t="shared" si="0"/>
        <v>0.32</v>
      </c>
    </row>
    <row r="14" spans="1:16">
      <c r="B14" s="63" t="s">
        <v>23</v>
      </c>
      <c r="C14" s="51">
        <v>5.9850000000000003</v>
      </c>
      <c r="D14" s="51">
        <v>11.97</v>
      </c>
      <c r="E14" s="81">
        <f>INDEX($I$4:$I$16,MATCH(DASHBOARD!$F14,Burra!$H$4:$H$16,1))</f>
        <v>0.06</v>
      </c>
      <c r="F14" s="82">
        <f>INDEX($J$4:$J$16,MATCH(DASHBOARD!$F14,Burra!$H$4:$H$16,1))</f>
        <v>0.12</v>
      </c>
      <c r="H14" s="52">
        <v>30001</v>
      </c>
      <c r="I14" s="51">
        <v>0.18</v>
      </c>
      <c r="J14" s="53">
        <f t="shared" si="0"/>
        <v>0.36</v>
      </c>
    </row>
    <row r="15" spans="1:16">
      <c r="B15" s="63" t="s">
        <v>24</v>
      </c>
      <c r="C15" s="51">
        <v>6.1849999999999996</v>
      </c>
      <c r="D15" s="51">
        <v>12.37</v>
      </c>
      <c r="E15" s="81">
        <f>INDEX($I$4:$I$16,MATCH(DASHBOARD!$F15,Burra!$H$4:$H$16,1))</f>
        <v>0.06</v>
      </c>
      <c r="F15" s="82">
        <f>INDEX($J$4:$J$16,MATCH(DASHBOARD!$F15,Burra!$H$4:$H$16,1))</f>
        <v>0.12</v>
      </c>
      <c r="H15" s="52">
        <v>35001</v>
      </c>
      <c r="I15" s="51">
        <v>0.2</v>
      </c>
      <c r="J15" s="53">
        <f t="shared" si="0"/>
        <v>0.4</v>
      </c>
    </row>
    <row r="16" spans="1:16" ht="15.75" thickBot="1">
      <c r="B16" s="65" t="s">
        <v>25</v>
      </c>
      <c r="C16" s="55">
        <v>6.1849999999999996</v>
      </c>
      <c r="D16" s="55">
        <v>12.37</v>
      </c>
      <c r="E16" s="83">
        <f>INDEX($I$4:$I$16,MATCH(DASHBOARD!$F16,Burra!$H$4:$H$16,1))</f>
        <v>0.06</v>
      </c>
      <c r="F16" s="84">
        <f>INDEX($J$4:$J$16,MATCH(DASHBOARD!$F16,Burra!$H$4:$H$16,1))</f>
        <v>0.12</v>
      </c>
      <c r="H16" s="54">
        <v>40001</v>
      </c>
      <c r="I16" s="55">
        <v>0.22</v>
      </c>
      <c r="J16" s="56">
        <f t="shared" si="0"/>
        <v>0.44</v>
      </c>
    </row>
  </sheetData>
  <sheetProtection algorithmName="SHA-512" hashValue="375068dOBQN7xdqUk7o2CfyQgzkyiD3+fV3T4CkUGlaNACycZwIjCdfwLchOegDnDZg6JTgeiwy2tY4YYe6RBQ==" saltValue="7L9tJD916soVvlmBEg4/Sw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17D7-378E-4330-82FD-8BCF568D292A}">
  <dimension ref="C1:I23"/>
  <sheetViews>
    <sheetView workbookViewId="0">
      <selection activeCell="F5" sqref="F5"/>
    </sheetView>
  </sheetViews>
  <sheetFormatPr defaultRowHeight="15"/>
  <cols>
    <col min="3" max="3" width="10.85546875" bestFit="1" customWidth="1"/>
    <col min="4" max="4" width="20.140625" customWidth="1"/>
    <col min="5" max="5" width="18" customWidth="1"/>
    <col min="6" max="6" width="15.140625" customWidth="1"/>
    <col min="8" max="8" width="13.7109375" customWidth="1"/>
    <col min="13" max="13" width="19.42578125" bestFit="1" customWidth="1"/>
    <col min="14" max="14" width="5" bestFit="1" customWidth="1"/>
    <col min="15" max="15" width="5.28515625" bestFit="1" customWidth="1"/>
    <col min="16" max="16" width="11.5703125" bestFit="1" customWidth="1"/>
    <col min="17" max="17" width="5" bestFit="1" customWidth="1"/>
  </cols>
  <sheetData>
    <row r="1" spans="3:9">
      <c r="C1" t="s">
        <v>32</v>
      </c>
    </row>
    <row r="2" spans="3:9">
      <c r="I2" s="1"/>
    </row>
    <row r="3" spans="3:9" ht="14.25" customHeight="1" thickBot="1">
      <c r="H3" t="s">
        <v>294</v>
      </c>
    </row>
    <row r="4" spans="3:9" ht="12.75" customHeight="1">
      <c r="C4" s="61" t="s">
        <v>7</v>
      </c>
      <c r="D4" s="71" t="s">
        <v>224</v>
      </c>
      <c r="E4" s="71" t="s">
        <v>225</v>
      </c>
      <c r="F4" s="62" t="s">
        <v>236</v>
      </c>
      <c r="H4">
        <v>5153</v>
      </c>
    </row>
    <row r="5" spans="3:9" ht="12.75" customHeight="1">
      <c r="C5" s="63" t="s">
        <v>13</v>
      </c>
      <c r="D5" s="51">
        <v>9.9700000000000006</v>
      </c>
      <c r="E5" s="51">
        <v>12.26</v>
      </c>
      <c r="F5" s="86">
        <f>75*31</f>
        <v>2325</v>
      </c>
      <c r="H5">
        <v>5174</v>
      </c>
    </row>
    <row r="6" spans="3:9">
      <c r="C6" s="63" t="s">
        <v>15</v>
      </c>
      <c r="D6" s="51">
        <v>9.9700000000000006</v>
      </c>
      <c r="E6" s="51">
        <v>12.26</v>
      </c>
      <c r="F6" s="86">
        <f>75*31</f>
        <v>2325</v>
      </c>
      <c r="H6">
        <v>5201</v>
      </c>
    </row>
    <row r="7" spans="3:9">
      <c r="C7" s="63" t="s">
        <v>16</v>
      </c>
      <c r="D7" s="51">
        <v>8.4700000000000006</v>
      </c>
      <c r="E7" s="51">
        <v>10.41</v>
      </c>
      <c r="F7" s="86">
        <f t="shared" ref="F7:F14" si="0">75*30</f>
        <v>2250</v>
      </c>
      <c r="H7">
        <v>5202</v>
      </c>
    </row>
    <row r="8" spans="3:9">
      <c r="C8" s="63" t="s">
        <v>17</v>
      </c>
      <c r="D8" s="51">
        <v>8.4700000000000006</v>
      </c>
      <c r="E8" s="51">
        <v>10.41</v>
      </c>
      <c r="F8" s="86">
        <f>75*31</f>
        <v>2325</v>
      </c>
      <c r="H8">
        <v>5203</v>
      </c>
    </row>
    <row r="9" spans="3:9">
      <c r="C9" s="63" t="s">
        <v>18</v>
      </c>
      <c r="D9" s="51">
        <v>8.4700000000000006</v>
      </c>
      <c r="E9" s="51">
        <v>10.41</v>
      </c>
      <c r="F9" s="86">
        <f t="shared" si="0"/>
        <v>2250</v>
      </c>
      <c r="H9">
        <v>5204</v>
      </c>
    </row>
    <row r="10" spans="3:9">
      <c r="C10" s="63" t="s">
        <v>19</v>
      </c>
      <c r="D10" s="51">
        <v>8.4700000000000006</v>
      </c>
      <c r="E10" s="51">
        <v>10.41</v>
      </c>
      <c r="F10" s="86">
        <f>75*31</f>
        <v>2325</v>
      </c>
      <c r="H10">
        <v>5210</v>
      </c>
    </row>
    <row r="11" spans="3:9">
      <c r="C11" s="63" t="s">
        <v>20</v>
      </c>
      <c r="D11" s="51">
        <v>9.9700000000000006</v>
      </c>
      <c r="E11" s="51">
        <v>12.26</v>
      </c>
      <c r="F11" s="86">
        <f>75*31</f>
        <v>2325</v>
      </c>
      <c r="H11">
        <v>5211</v>
      </c>
    </row>
    <row r="12" spans="3:9">
      <c r="C12" s="63" t="s">
        <v>21</v>
      </c>
      <c r="D12" s="51">
        <v>9.9700000000000006</v>
      </c>
      <c r="E12" s="51">
        <v>12.26</v>
      </c>
      <c r="F12" s="86">
        <f>75*28</f>
        <v>2100</v>
      </c>
      <c r="H12">
        <v>5234</v>
      </c>
    </row>
    <row r="13" spans="3:9">
      <c r="C13" s="63" t="s">
        <v>22</v>
      </c>
      <c r="D13" s="51">
        <v>9.9700000000000006</v>
      </c>
      <c r="E13" s="51">
        <v>12.26</v>
      </c>
      <c r="F13" s="86">
        <f>75*31</f>
        <v>2325</v>
      </c>
      <c r="H13">
        <v>5235</v>
      </c>
    </row>
    <row r="14" spans="3:9">
      <c r="C14" s="63" t="s">
        <v>23</v>
      </c>
      <c r="D14" s="51">
        <v>9.9700000000000006</v>
      </c>
      <c r="E14" s="51">
        <v>12.26</v>
      </c>
      <c r="F14" s="86">
        <f t="shared" si="0"/>
        <v>2250</v>
      </c>
      <c r="H14">
        <v>5241</v>
      </c>
    </row>
    <row r="15" spans="3:9">
      <c r="C15" s="63" t="s">
        <v>24</v>
      </c>
      <c r="D15" s="51">
        <v>9.9700000000000006</v>
      </c>
      <c r="E15" s="51">
        <v>12.26</v>
      </c>
      <c r="F15" s="86">
        <f>75*31</f>
        <v>2325</v>
      </c>
      <c r="H15">
        <v>5242</v>
      </c>
    </row>
    <row r="16" spans="3:9" ht="15.75" thickBot="1">
      <c r="C16" s="65" t="s">
        <v>25</v>
      </c>
      <c r="D16" s="55">
        <v>9.9700000000000006</v>
      </c>
      <c r="E16" s="55">
        <v>12.26</v>
      </c>
      <c r="F16" s="87">
        <f>75*31</f>
        <v>2325</v>
      </c>
      <c r="H16">
        <v>5244</v>
      </c>
    </row>
    <row r="17" spans="3:8">
      <c r="H17">
        <v>5254</v>
      </c>
    </row>
    <row r="18" spans="3:8">
      <c r="C18" t="s">
        <v>26</v>
      </c>
      <c r="F18" s="34" t="s">
        <v>241</v>
      </c>
      <c r="H18">
        <v>5255</v>
      </c>
    </row>
    <row r="19" spans="3:8">
      <c r="H19">
        <v>5259</v>
      </c>
    </row>
    <row r="20" spans="3:8">
      <c r="H20">
        <v>5260</v>
      </c>
    </row>
    <row r="21" spans="3:8">
      <c r="H21">
        <v>5351</v>
      </c>
    </row>
    <row r="22" spans="3:8">
      <c r="H22">
        <v>5352</v>
      </c>
    </row>
    <row r="23" spans="3:8">
      <c r="H23">
        <v>5353</v>
      </c>
    </row>
  </sheetData>
  <sheetProtection algorithmName="SHA-512" hashValue="Yv3/PfJzsj8rNinlxmk43+uYbe3fEE1hz8LCNBtA6/H2yJEYYXQbU5xT+lENNHZ0HV6A9LAVulYe2wns43HLOg==" saltValue="RSmXV7MfiO0In+0VjCW3MA==" spinCount="100000" sheet="1" objects="1" scenarios="1"/>
  <pageMargins left="0.7" right="0.7" top="0.75" bottom="0.75" header="0.3" footer="0.3"/>
  <ignoredErrors>
    <ignoredError sqref="F7:F9 F12 F14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8EB32-1414-4784-94E9-94E8520CEF44}">
  <dimension ref="C1:I124"/>
  <sheetViews>
    <sheetView workbookViewId="0">
      <selection activeCell="F5" sqref="F5"/>
    </sheetView>
  </sheetViews>
  <sheetFormatPr defaultRowHeight="15"/>
  <cols>
    <col min="3" max="3" width="19.42578125" bestFit="1" customWidth="1"/>
    <col min="4" max="4" width="20" customWidth="1"/>
    <col min="5" max="5" width="19.85546875" customWidth="1"/>
    <col min="6" max="6" width="15.42578125" customWidth="1"/>
    <col min="8" max="8" width="19.42578125" bestFit="1" customWidth="1"/>
    <col min="13" max="13" width="19.42578125" bestFit="1" customWidth="1"/>
    <col min="14" max="14" width="5" bestFit="1" customWidth="1"/>
    <col min="15" max="15" width="5.28515625" bestFit="1" customWidth="1"/>
    <col min="16" max="16" width="11.5703125" bestFit="1" customWidth="1"/>
    <col min="17" max="17" width="5" bestFit="1" customWidth="1"/>
  </cols>
  <sheetData>
    <row r="1" spans="3:9">
      <c r="C1" t="s">
        <v>295</v>
      </c>
    </row>
    <row r="2" spans="3:9">
      <c r="I2" s="1"/>
    </row>
    <row r="3" spans="3:9" ht="14.25" customHeight="1" thickBot="1">
      <c r="H3" t="s">
        <v>294</v>
      </c>
    </row>
    <row r="4" spans="3:9" ht="12.75" customHeight="1">
      <c r="C4" s="61" t="s">
        <v>7</v>
      </c>
      <c r="D4" s="71" t="s">
        <v>224</v>
      </c>
      <c r="E4" s="71" t="s">
        <v>225</v>
      </c>
      <c r="F4" s="62" t="s">
        <v>236</v>
      </c>
      <c r="H4">
        <v>3558</v>
      </c>
    </row>
    <row r="5" spans="3:9" ht="12.75" customHeight="1">
      <c r="C5" s="63" t="s">
        <v>13</v>
      </c>
      <c r="D5" s="51">
        <v>9.8000000000000007</v>
      </c>
      <c r="E5" s="51">
        <v>12.05</v>
      </c>
      <c r="F5" s="86">
        <f>75*31</f>
        <v>2325</v>
      </c>
      <c r="H5">
        <v>3559</v>
      </c>
    </row>
    <row r="6" spans="3:9">
      <c r="C6" s="63" t="s">
        <v>15</v>
      </c>
      <c r="D6" s="51">
        <v>9.8000000000000007</v>
      </c>
      <c r="E6" s="51">
        <v>12.05</v>
      </c>
      <c r="F6" s="86">
        <f>75*31</f>
        <v>2325</v>
      </c>
      <c r="H6">
        <v>3561</v>
      </c>
    </row>
    <row r="7" spans="3:9">
      <c r="C7" s="63" t="s">
        <v>16</v>
      </c>
      <c r="D7" s="51">
        <v>8.31</v>
      </c>
      <c r="E7" s="51">
        <v>10.23</v>
      </c>
      <c r="F7" s="86">
        <f t="shared" ref="F7:F14" si="0">75*30</f>
        <v>2250</v>
      </c>
      <c r="H7">
        <v>3562</v>
      </c>
    </row>
    <row r="8" spans="3:9">
      <c r="C8" s="63" t="s">
        <v>17</v>
      </c>
      <c r="D8" s="51">
        <v>8.31</v>
      </c>
      <c r="E8" s="51">
        <v>10.23</v>
      </c>
      <c r="F8" s="86">
        <f>75*31</f>
        <v>2325</v>
      </c>
      <c r="H8">
        <v>3563</v>
      </c>
    </row>
    <row r="9" spans="3:9">
      <c r="C9" s="63" t="s">
        <v>18</v>
      </c>
      <c r="D9" s="51">
        <v>8.31</v>
      </c>
      <c r="E9" s="51">
        <v>10.23</v>
      </c>
      <c r="F9" s="86">
        <f t="shared" si="0"/>
        <v>2250</v>
      </c>
      <c r="H9">
        <v>3564</v>
      </c>
    </row>
    <row r="10" spans="3:9">
      <c r="C10" s="63" t="s">
        <v>19</v>
      </c>
      <c r="D10" s="51">
        <v>8.31</v>
      </c>
      <c r="E10" s="51">
        <v>10.23</v>
      </c>
      <c r="F10" s="86">
        <f>75*31</f>
        <v>2325</v>
      </c>
      <c r="H10">
        <v>3565</v>
      </c>
    </row>
    <row r="11" spans="3:9">
      <c r="C11" s="63" t="s">
        <v>20</v>
      </c>
      <c r="D11" s="51">
        <v>9.8000000000000007</v>
      </c>
      <c r="E11" s="51">
        <v>12.05</v>
      </c>
      <c r="F11" s="86">
        <f>75*31</f>
        <v>2325</v>
      </c>
      <c r="H11">
        <v>3566</v>
      </c>
    </row>
    <row r="12" spans="3:9">
      <c r="C12" s="63" t="s">
        <v>21</v>
      </c>
      <c r="D12" s="51">
        <v>9.8000000000000007</v>
      </c>
      <c r="E12" s="51">
        <v>12.05</v>
      </c>
      <c r="F12" s="86">
        <f>75*28</f>
        <v>2100</v>
      </c>
      <c r="H12">
        <v>3567</v>
      </c>
    </row>
    <row r="13" spans="3:9">
      <c r="C13" s="63" t="s">
        <v>22</v>
      </c>
      <c r="D13" s="51">
        <v>9.8000000000000007</v>
      </c>
      <c r="E13" s="51">
        <v>12.05</v>
      </c>
      <c r="F13" s="86">
        <f>75*31</f>
        <v>2325</v>
      </c>
      <c r="H13">
        <v>3568</v>
      </c>
    </row>
    <row r="14" spans="3:9">
      <c r="C14" s="63" t="s">
        <v>23</v>
      </c>
      <c r="D14" s="51">
        <v>9.8000000000000007</v>
      </c>
      <c r="E14" s="51">
        <v>12.05</v>
      </c>
      <c r="F14" s="86">
        <f t="shared" si="0"/>
        <v>2250</v>
      </c>
      <c r="H14">
        <v>3572</v>
      </c>
    </row>
    <row r="15" spans="3:9">
      <c r="C15" s="63" t="s">
        <v>24</v>
      </c>
      <c r="D15" s="51">
        <v>9.8000000000000007</v>
      </c>
      <c r="E15" s="51">
        <v>12.05</v>
      </c>
      <c r="F15" s="86">
        <f>75*31</f>
        <v>2325</v>
      </c>
      <c r="H15">
        <v>3573</v>
      </c>
    </row>
    <row r="16" spans="3:9" ht="15.75" thickBot="1">
      <c r="C16" s="65" t="s">
        <v>25</v>
      </c>
      <c r="D16" s="55">
        <v>9.8000000000000007</v>
      </c>
      <c r="E16" s="55">
        <v>12.05</v>
      </c>
      <c r="F16" s="87">
        <f>75*31</f>
        <v>2325</v>
      </c>
      <c r="H16">
        <v>3610</v>
      </c>
    </row>
    <row r="17" spans="3:8">
      <c r="H17">
        <v>3612</v>
      </c>
    </row>
    <row r="18" spans="3:8">
      <c r="C18" t="s">
        <v>26</v>
      </c>
      <c r="F18" s="34" t="s">
        <v>241</v>
      </c>
      <c r="H18">
        <v>3614</v>
      </c>
    </row>
    <row r="19" spans="3:8">
      <c r="H19">
        <v>3616</v>
      </c>
    </row>
    <row r="20" spans="3:8">
      <c r="H20">
        <v>3617</v>
      </c>
    </row>
    <row r="21" spans="3:8">
      <c r="H21">
        <v>3618</v>
      </c>
    </row>
    <row r="22" spans="3:8">
      <c r="H22">
        <v>3620</v>
      </c>
    </row>
    <row r="23" spans="3:8">
      <c r="H23">
        <v>3621</v>
      </c>
    </row>
    <row r="24" spans="3:8">
      <c r="H24">
        <v>3622</v>
      </c>
    </row>
    <row r="25" spans="3:8">
      <c r="H25">
        <v>3623</v>
      </c>
    </row>
    <row r="26" spans="3:8">
      <c r="H26">
        <v>3624</v>
      </c>
    </row>
    <row r="27" spans="3:8">
      <c r="H27">
        <v>3629</v>
      </c>
    </row>
    <row r="28" spans="3:8">
      <c r="H28">
        <v>3630</v>
      </c>
    </row>
    <row r="29" spans="3:8">
      <c r="H29">
        <v>3631</v>
      </c>
    </row>
    <row r="30" spans="3:8">
      <c r="H30">
        <v>3633</v>
      </c>
    </row>
    <row r="31" spans="3:8">
      <c r="H31">
        <v>3634</v>
      </c>
    </row>
    <row r="32" spans="3:8">
      <c r="H32">
        <v>3635</v>
      </c>
    </row>
    <row r="33" spans="8:8">
      <c r="H33">
        <v>3636</v>
      </c>
    </row>
    <row r="34" spans="8:8">
      <c r="H34">
        <v>3637</v>
      </c>
    </row>
    <row r="35" spans="8:8">
      <c r="H35">
        <v>3638</v>
      </c>
    </row>
    <row r="36" spans="8:8">
      <c r="H36">
        <v>3639</v>
      </c>
    </row>
    <row r="37" spans="8:8">
      <c r="H37">
        <v>3640</v>
      </c>
    </row>
    <row r="38" spans="8:8">
      <c r="H38">
        <v>3641</v>
      </c>
    </row>
    <row r="39" spans="8:8">
      <c r="H39">
        <v>3644</v>
      </c>
    </row>
    <row r="40" spans="8:8">
      <c r="H40">
        <v>3646</v>
      </c>
    </row>
    <row r="41" spans="8:8">
      <c r="H41">
        <v>3649</v>
      </c>
    </row>
    <row r="42" spans="8:8">
      <c r="H42">
        <v>3233</v>
      </c>
    </row>
    <row r="43" spans="8:8">
      <c r="H43">
        <v>3235</v>
      </c>
    </row>
    <row r="44" spans="8:8">
      <c r="H44">
        <v>3236</v>
      </c>
    </row>
    <row r="45" spans="8:8">
      <c r="H45">
        <v>3237</v>
      </c>
    </row>
    <row r="46" spans="8:8">
      <c r="H46">
        <v>3238</v>
      </c>
    </row>
    <row r="47" spans="8:8">
      <c r="H47">
        <v>3241</v>
      </c>
    </row>
    <row r="48" spans="8:8">
      <c r="H48">
        <v>3242</v>
      </c>
    </row>
    <row r="49" spans="8:8">
      <c r="H49">
        <v>3243</v>
      </c>
    </row>
    <row r="50" spans="8:8">
      <c r="H50">
        <v>3249</v>
      </c>
    </row>
    <row r="51" spans="8:8">
      <c r="H51">
        <v>3250</v>
      </c>
    </row>
    <row r="52" spans="8:8">
      <c r="H52">
        <v>3251</v>
      </c>
    </row>
    <row r="53" spans="8:8">
      <c r="H53">
        <v>3254</v>
      </c>
    </row>
    <row r="54" spans="8:8">
      <c r="H54">
        <v>3260</v>
      </c>
    </row>
    <row r="55" spans="8:8">
      <c r="H55">
        <v>3264</v>
      </c>
    </row>
    <row r="56" spans="8:8">
      <c r="H56">
        <v>3265</v>
      </c>
    </row>
    <row r="57" spans="8:8">
      <c r="H57">
        <v>3266</v>
      </c>
    </row>
    <row r="58" spans="8:8">
      <c r="H58">
        <v>3267</v>
      </c>
    </row>
    <row r="59" spans="8:8">
      <c r="H59">
        <v>3268</v>
      </c>
    </row>
    <row r="60" spans="8:8">
      <c r="H60">
        <v>3269</v>
      </c>
    </row>
    <row r="61" spans="8:8">
      <c r="H61">
        <v>3272</v>
      </c>
    </row>
    <row r="62" spans="8:8">
      <c r="H62">
        <v>3275</v>
      </c>
    </row>
    <row r="63" spans="8:8">
      <c r="H63">
        <v>3276</v>
      </c>
    </row>
    <row r="64" spans="8:8">
      <c r="H64">
        <v>3277</v>
      </c>
    </row>
    <row r="65" spans="8:8">
      <c r="H65">
        <v>3278</v>
      </c>
    </row>
    <row r="66" spans="8:8">
      <c r="H66">
        <v>3279</v>
      </c>
    </row>
    <row r="67" spans="8:8">
      <c r="H67">
        <v>3280</v>
      </c>
    </row>
    <row r="68" spans="8:8">
      <c r="H68">
        <v>3281</v>
      </c>
    </row>
    <row r="69" spans="8:8">
      <c r="H69">
        <v>3282</v>
      </c>
    </row>
    <row r="70" spans="8:8">
      <c r="H70">
        <v>3283</v>
      </c>
    </row>
    <row r="71" spans="8:8">
      <c r="H71">
        <v>3284</v>
      </c>
    </row>
    <row r="72" spans="8:8">
      <c r="H72">
        <v>3285</v>
      </c>
    </row>
    <row r="73" spans="8:8">
      <c r="H73">
        <v>3287</v>
      </c>
    </row>
    <row r="74" spans="8:8">
      <c r="H74">
        <v>3809</v>
      </c>
    </row>
    <row r="75" spans="8:8">
      <c r="H75">
        <v>3810</v>
      </c>
    </row>
    <row r="76" spans="8:8">
      <c r="H76">
        <v>3812</v>
      </c>
    </row>
    <row r="77" spans="8:8">
      <c r="H77">
        <v>3814</v>
      </c>
    </row>
    <row r="78" spans="8:8">
      <c r="H78">
        <v>3815</v>
      </c>
    </row>
    <row r="79" spans="8:8">
      <c r="H79">
        <v>3816</v>
      </c>
    </row>
    <row r="80" spans="8:8">
      <c r="H80">
        <v>3818</v>
      </c>
    </row>
    <row r="81" spans="8:8">
      <c r="H81">
        <v>3820</v>
      </c>
    </row>
    <row r="82" spans="8:8">
      <c r="H82">
        <v>3821</v>
      </c>
    </row>
    <row r="83" spans="8:8">
      <c r="H83">
        <v>3822</v>
      </c>
    </row>
    <row r="84" spans="8:8">
      <c r="H84">
        <v>3835</v>
      </c>
    </row>
    <row r="85" spans="8:8">
      <c r="H85">
        <v>3870</v>
      </c>
    </row>
    <row r="86" spans="8:8">
      <c r="H86">
        <v>3871</v>
      </c>
    </row>
    <row r="87" spans="8:8">
      <c r="H87">
        <v>3874</v>
      </c>
    </row>
    <row r="88" spans="8:8">
      <c r="H88">
        <v>3945</v>
      </c>
    </row>
    <row r="89" spans="8:8">
      <c r="H89">
        <v>3946</v>
      </c>
    </row>
    <row r="90" spans="8:8">
      <c r="H90">
        <v>3950</v>
      </c>
    </row>
    <row r="91" spans="8:8">
      <c r="H91">
        <v>3951</v>
      </c>
    </row>
    <row r="92" spans="8:8">
      <c r="H92">
        <v>3953</v>
      </c>
    </row>
    <row r="93" spans="8:8">
      <c r="H93">
        <v>3954</v>
      </c>
    </row>
    <row r="94" spans="8:8">
      <c r="H94">
        <v>3956</v>
      </c>
    </row>
    <row r="95" spans="8:8">
      <c r="H95">
        <v>3957</v>
      </c>
    </row>
    <row r="96" spans="8:8">
      <c r="H96">
        <v>3958</v>
      </c>
    </row>
    <row r="97" spans="8:8">
      <c r="H97">
        <v>3959</v>
      </c>
    </row>
    <row r="98" spans="8:8">
      <c r="H98">
        <v>3960</v>
      </c>
    </row>
    <row r="99" spans="8:8">
      <c r="H99">
        <v>3962</v>
      </c>
    </row>
    <row r="100" spans="8:8">
      <c r="H100">
        <v>3963</v>
      </c>
    </row>
    <row r="101" spans="8:8">
      <c r="H101">
        <v>3966</v>
      </c>
    </row>
    <row r="102" spans="8:8">
      <c r="H102">
        <v>3967</v>
      </c>
    </row>
    <row r="103" spans="8:8">
      <c r="H103">
        <v>3971</v>
      </c>
    </row>
    <row r="104" spans="8:8">
      <c r="H104">
        <v>3981</v>
      </c>
    </row>
    <row r="105" spans="8:8">
      <c r="H105">
        <v>3984</v>
      </c>
    </row>
    <row r="106" spans="8:8">
      <c r="H106">
        <v>3987</v>
      </c>
    </row>
    <row r="107" spans="8:8">
      <c r="H107">
        <v>3988</v>
      </c>
    </row>
    <row r="108" spans="8:8">
      <c r="H108">
        <v>3990</v>
      </c>
    </row>
    <row r="109" spans="8:8">
      <c r="H109">
        <v>3991</v>
      </c>
    </row>
    <row r="110" spans="8:8">
      <c r="H110">
        <v>3995</v>
      </c>
    </row>
    <row r="111" spans="8:8">
      <c r="H111">
        <v>3996</v>
      </c>
    </row>
    <row r="112" spans="8:8">
      <c r="H112">
        <v>2710</v>
      </c>
    </row>
    <row r="113" spans="8:8">
      <c r="H113">
        <v>2712</v>
      </c>
    </row>
    <row r="114" spans="8:8">
      <c r="H114">
        <v>2713</v>
      </c>
    </row>
    <row r="115" spans="8:8">
      <c r="H115">
        <v>2714</v>
      </c>
    </row>
    <row r="116" spans="8:8">
      <c r="H116">
        <v>2731</v>
      </c>
    </row>
    <row r="117" spans="8:8">
      <c r="H117">
        <v>3644</v>
      </c>
    </row>
    <row r="118" spans="8:8">
      <c r="H118">
        <v>5263</v>
      </c>
    </row>
    <row r="119" spans="8:8">
      <c r="H119">
        <v>5277</v>
      </c>
    </row>
    <row r="120" spans="8:8">
      <c r="H120">
        <v>5278</v>
      </c>
    </row>
    <row r="121" spans="8:8">
      <c r="H121">
        <v>5279</v>
      </c>
    </row>
    <row r="122" spans="8:8">
      <c r="H122">
        <v>5280</v>
      </c>
    </row>
    <row r="123" spans="8:8">
      <c r="H123">
        <v>5290</v>
      </c>
    </row>
    <row r="124" spans="8:8">
      <c r="H124">
        <v>5291</v>
      </c>
    </row>
  </sheetData>
  <sheetProtection algorithmName="SHA-512" hashValue="AkNBA1fuzV2Mndlg9ucvg9lXvyEBqB/wBjrzp/OCw1tRZ5daQKrE+XHLSwAsBT2PyFt3idbVtwYoA/qJFEnYBw==" saltValue="JNeNIdEFnt5I9k/yJtzFFA==" spinCount="100000" sheet="1" objects="1" scenarios="1"/>
  <pageMargins left="0.7" right="0.7" top="0.75" bottom="0.75" header="0.3" footer="0.3"/>
  <ignoredErrors>
    <ignoredError sqref="F7 F9 F12 F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6E69-30E1-49B4-90EB-797947BC2EAF}">
  <dimension ref="C2:I18"/>
  <sheetViews>
    <sheetView workbookViewId="0">
      <selection activeCell="F5" sqref="F5"/>
    </sheetView>
  </sheetViews>
  <sheetFormatPr defaultRowHeight="15"/>
  <cols>
    <col min="3" max="3" width="16.28515625" bestFit="1" customWidth="1"/>
    <col min="4" max="4" width="20.85546875" customWidth="1"/>
    <col min="5" max="5" width="20" customWidth="1"/>
    <col min="6" max="6" width="15.28515625" customWidth="1"/>
    <col min="8" max="8" width="13.7109375" customWidth="1"/>
    <col min="13" max="13" width="19.42578125" bestFit="1" customWidth="1"/>
    <col min="14" max="14" width="5" bestFit="1" customWidth="1"/>
    <col min="15" max="15" width="5.28515625" bestFit="1" customWidth="1"/>
    <col min="16" max="16" width="11.5703125" bestFit="1" customWidth="1"/>
    <col min="17" max="17" width="5" bestFit="1" customWidth="1"/>
  </cols>
  <sheetData>
    <row r="2" spans="3:9">
      <c r="C2" t="s">
        <v>160</v>
      </c>
      <c r="I2" s="1"/>
    </row>
    <row r="3" spans="3:9" ht="14.25" customHeight="1" thickBot="1">
      <c r="H3" t="s">
        <v>294</v>
      </c>
    </row>
    <row r="4" spans="3:9" ht="12.75" customHeight="1">
      <c r="C4" s="61" t="s">
        <v>7</v>
      </c>
      <c r="D4" s="71" t="s">
        <v>224</v>
      </c>
      <c r="E4" s="71" t="s">
        <v>225</v>
      </c>
      <c r="F4" s="62" t="s">
        <v>236</v>
      </c>
      <c r="H4">
        <v>2527</v>
      </c>
    </row>
    <row r="5" spans="3:9" ht="12.75" customHeight="1">
      <c r="C5" s="63" t="s">
        <v>13</v>
      </c>
      <c r="D5" s="67">
        <v>11.18</v>
      </c>
      <c r="E5" s="67">
        <v>13.75</v>
      </c>
      <c r="F5" s="88">
        <f>75*31</f>
        <v>2325</v>
      </c>
      <c r="H5">
        <v>2533</v>
      </c>
    </row>
    <row r="6" spans="3:9">
      <c r="C6" s="63" t="s">
        <v>15</v>
      </c>
      <c r="D6" s="67">
        <v>11.18</v>
      </c>
      <c r="E6" s="67">
        <v>13.75</v>
      </c>
      <c r="F6" s="88">
        <f>75*31</f>
        <v>2325</v>
      </c>
      <c r="H6">
        <v>2534</v>
      </c>
    </row>
    <row r="7" spans="3:9">
      <c r="C7" s="63" t="s">
        <v>16</v>
      </c>
      <c r="D7" s="67">
        <v>10.6</v>
      </c>
      <c r="E7" s="67">
        <v>13.04</v>
      </c>
      <c r="F7" s="88">
        <f t="shared" ref="F7:F14" si="0">75*30</f>
        <v>2250</v>
      </c>
      <c r="H7">
        <v>2535</v>
      </c>
    </row>
    <row r="8" spans="3:9">
      <c r="C8" s="63" t="s">
        <v>17</v>
      </c>
      <c r="D8" s="67">
        <v>10.6</v>
      </c>
      <c r="E8" s="67">
        <v>13.04</v>
      </c>
      <c r="F8" s="88">
        <f>75*31</f>
        <v>2325</v>
      </c>
      <c r="H8">
        <v>2540</v>
      </c>
    </row>
    <row r="9" spans="3:9">
      <c r="C9" s="63" t="s">
        <v>18</v>
      </c>
      <c r="D9" s="67">
        <v>10.6</v>
      </c>
      <c r="E9" s="67">
        <v>13.04</v>
      </c>
      <c r="F9" s="88">
        <f t="shared" si="0"/>
        <v>2250</v>
      </c>
      <c r="H9">
        <v>2541</v>
      </c>
    </row>
    <row r="10" spans="3:9">
      <c r="C10" s="63" t="s">
        <v>19</v>
      </c>
      <c r="D10" s="67">
        <v>10.6</v>
      </c>
      <c r="E10" s="67">
        <v>13.04</v>
      </c>
      <c r="F10" s="88">
        <f>75*31</f>
        <v>2325</v>
      </c>
      <c r="H10">
        <v>2575</v>
      </c>
    </row>
    <row r="11" spans="3:9">
      <c r="C11" s="63" t="s">
        <v>20</v>
      </c>
      <c r="D11" s="67">
        <v>11.18</v>
      </c>
      <c r="E11" s="67">
        <v>13.75</v>
      </c>
      <c r="F11" s="88">
        <f>75*31</f>
        <v>2325</v>
      </c>
      <c r="H11">
        <v>2576</v>
      </c>
    </row>
    <row r="12" spans="3:9">
      <c r="C12" s="63" t="s">
        <v>21</v>
      </c>
      <c r="D12" s="67">
        <v>11.18</v>
      </c>
      <c r="E12" s="67">
        <v>13.75</v>
      </c>
      <c r="F12" s="88">
        <f>75*28</f>
        <v>2100</v>
      </c>
      <c r="H12">
        <v>2577</v>
      </c>
    </row>
    <row r="13" spans="3:9">
      <c r="C13" s="63" t="s">
        <v>22</v>
      </c>
      <c r="D13" s="67">
        <v>11.18</v>
      </c>
      <c r="E13" s="67">
        <v>13.75</v>
      </c>
      <c r="F13" s="88">
        <f>75*31</f>
        <v>2325</v>
      </c>
    </row>
    <row r="14" spans="3:9">
      <c r="C14" s="63" t="s">
        <v>23</v>
      </c>
      <c r="D14" s="67">
        <v>11.18</v>
      </c>
      <c r="E14" s="67">
        <v>13.75</v>
      </c>
      <c r="F14" s="88">
        <f t="shared" si="0"/>
        <v>2250</v>
      </c>
    </row>
    <row r="15" spans="3:9">
      <c r="C15" s="63" t="s">
        <v>24</v>
      </c>
      <c r="D15" s="67">
        <v>11.18</v>
      </c>
      <c r="E15" s="67">
        <v>13.75</v>
      </c>
      <c r="F15" s="88">
        <f>75*31</f>
        <v>2325</v>
      </c>
    </row>
    <row r="16" spans="3:9" ht="15.75" thickBot="1">
      <c r="C16" s="65" t="s">
        <v>25</v>
      </c>
      <c r="D16" s="69">
        <v>11.18</v>
      </c>
      <c r="E16" s="69">
        <v>13.75</v>
      </c>
      <c r="F16" s="89">
        <f>75*31</f>
        <v>2325</v>
      </c>
    </row>
    <row r="18" spans="3:6">
      <c r="C18" t="s">
        <v>26</v>
      </c>
      <c r="F18" s="34" t="s">
        <v>241</v>
      </c>
    </row>
  </sheetData>
  <sheetProtection algorithmName="SHA-512" hashValue="Xkb8pewF7kGX0BOc6NFGHLr4QdGzNTLSztgnutmCd34ikYlgy945Oscu5FiiY1FxhR1R976DlJ9GsRcRJZ/a7Q==" saltValue="V7sinn53ufDLjDVRlWSzhA==" spinCount="100000" sheet="1" objects="1" scenarios="1"/>
  <pageMargins left="0.7" right="0.7" top="0.75" bottom="0.75" header="0.3" footer="0.3"/>
  <ignoredErrors>
    <ignoredError sqref="F7:F9 F12 F1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EBC8-67DB-44C6-92BA-F7B417C360D2}">
  <dimension ref="C2:I28"/>
  <sheetViews>
    <sheetView workbookViewId="0">
      <selection activeCell="F5" sqref="F5"/>
    </sheetView>
  </sheetViews>
  <sheetFormatPr defaultRowHeight="15"/>
  <cols>
    <col min="3" max="3" width="13.7109375" customWidth="1"/>
    <col min="4" max="4" width="19.7109375" customWidth="1"/>
    <col min="5" max="5" width="19.28515625" customWidth="1"/>
    <col min="6" max="6" width="19.85546875" customWidth="1"/>
    <col min="13" max="13" width="19.42578125" bestFit="1" customWidth="1"/>
    <col min="14" max="14" width="5" bestFit="1" customWidth="1"/>
    <col min="15" max="15" width="5.28515625" bestFit="1" customWidth="1"/>
    <col min="16" max="16" width="11.5703125" bestFit="1" customWidth="1"/>
    <col min="17" max="17" width="5" bestFit="1" customWidth="1"/>
  </cols>
  <sheetData>
    <row r="2" spans="3:9">
      <c r="C2" t="s">
        <v>296</v>
      </c>
      <c r="I2" s="1"/>
    </row>
    <row r="3" spans="3:9" ht="14.25" customHeight="1" thickBot="1">
      <c r="H3" t="s">
        <v>294</v>
      </c>
    </row>
    <row r="4" spans="3:9" ht="12.75" customHeight="1">
      <c r="C4" s="61" t="s">
        <v>7</v>
      </c>
      <c r="D4" s="71" t="s">
        <v>224</v>
      </c>
      <c r="E4" s="71" t="s">
        <v>225</v>
      </c>
      <c r="F4" s="62" t="s">
        <v>236</v>
      </c>
      <c r="H4">
        <v>7030</v>
      </c>
    </row>
    <row r="5" spans="3:9" ht="12.75" customHeight="1">
      <c r="C5" s="63" t="s">
        <v>13</v>
      </c>
      <c r="D5" s="67">
        <v>9.8000000000000007</v>
      </c>
      <c r="E5" s="67">
        <v>12.05</v>
      </c>
      <c r="F5" s="88">
        <f>75*31</f>
        <v>2325</v>
      </c>
      <c r="H5">
        <v>7120</v>
      </c>
    </row>
    <row r="6" spans="3:9">
      <c r="C6" s="63" t="s">
        <v>15</v>
      </c>
      <c r="D6" s="67">
        <v>9.8000000000000007</v>
      </c>
      <c r="E6" s="67">
        <v>12.05</v>
      </c>
      <c r="F6" s="88">
        <f>75*31</f>
        <v>2325</v>
      </c>
      <c r="H6">
        <v>7140</v>
      </c>
    </row>
    <row r="7" spans="3:9">
      <c r="C7" s="63" t="s">
        <v>16</v>
      </c>
      <c r="D7" s="67">
        <v>8.31</v>
      </c>
      <c r="E7" s="67">
        <v>10.23</v>
      </c>
      <c r="F7" s="88">
        <f t="shared" ref="F7:F14" si="0">75*30</f>
        <v>2250</v>
      </c>
      <c r="H7">
        <v>7210</v>
      </c>
    </row>
    <row r="8" spans="3:9">
      <c r="C8" s="63" t="s">
        <v>17</v>
      </c>
      <c r="D8" s="67">
        <v>8.31</v>
      </c>
      <c r="E8" s="67">
        <v>10.23</v>
      </c>
      <c r="F8" s="88">
        <f>75*31</f>
        <v>2325</v>
      </c>
      <c r="H8">
        <v>7216</v>
      </c>
    </row>
    <row r="9" spans="3:9">
      <c r="C9" s="63" t="s">
        <v>18</v>
      </c>
      <c r="D9" s="67">
        <v>8.31</v>
      </c>
      <c r="E9" s="67">
        <v>10.23</v>
      </c>
      <c r="F9" s="88">
        <f t="shared" si="0"/>
        <v>2250</v>
      </c>
      <c r="H9">
        <v>7260</v>
      </c>
    </row>
    <row r="10" spans="3:9">
      <c r="C10" s="63" t="s">
        <v>19</v>
      </c>
      <c r="D10" s="67">
        <v>8.31</v>
      </c>
      <c r="E10" s="67">
        <v>10.23</v>
      </c>
      <c r="F10" s="88">
        <f>75*31</f>
        <v>2325</v>
      </c>
      <c r="H10">
        <v>7261</v>
      </c>
    </row>
    <row r="11" spans="3:9">
      <c r="C11" s="63" t="s">
        <v>20</v>
      </c>
      <c r="D11" s="67">
        <v>9.8000000000000007</v>
      </c>
      <c r="E11" s="67">
        <v>12.05</v>
      </c>
      <c r="F11" s="88">
        <f>75*31</f>
        <v>2325</v>
      </c>
      <c r="H11">
        <v>7262</v>
      </c>
    </row>
    <row r="12" spans="3:9">
      <c r="C12" s="63" t="s">
        <v>21</v>
      </c>
      <c r="D12" s="67">
        <v>9.8000000000000007</v>
      </c>
      <c r="E12" s="67">
        <v>12.05</v>
      </c>
      <c r="F12" s="88">
        <f>75*28</f>
        <v>2100</v>
      </c>
      <c r="H12">
        <v>7263</v>
      </c>
    </row>
    <row r="13" spans="3:9">
      <c r="C13" s="63" t="s">
        <v>22</v>
      </c>
      <c r="D13" s="67">
        <v>9.8000000000000007</v>
      </c>
      <c r="E13" s="67">
        <v>12.05</v>
      </c>
      <c r="F13" s="88">
        <f>75*31</f>
        <v>2325</v>
      </c>
      <c r="H13">
        <v>7264</v>
      </c>
    </row>
    <row r="14" spans="3:9">
      <c r="C14" s="63" t="s">
        <v>23</v>
      </c>
      <c r="D14" s="67">
        <v>9.8000000000000007</v>
      </c>
      <c r="E14" s="67">
        <v>12.05</v>
      </c>
      <c r="F14" s="88">
        <f t="shared" si="0"/>
        <v>2250</v>
      </c>
      <c r="H14">
        <v>7265</v>
      </c>
    </row>
    <row r="15" spans="3:9">
      <c r="C15" s="63" t="s">
        <v>24</v>
      </c>
      <c r="D15" s="67">
        <v>9.8000000000000007</v>
      </c>
      <c r="E15" s="67">
        <v>12.05</v>
      </c>
      <c r="F15" s="88">
        <f>75*31</f>
        <v>2325</v>
      </c>
      <c r="H15">
        <v>7175</v>
      </c>
    </row>
    <row r="16" spans="3:9" ht="15.75" thickBot="1">
      <c r="C16" s="65" t="s">
        <v>25</v>
      </c>
      <c r="D16" s="69">
        <v>9.8000000000000007</v>
      </c>
      <c r="E16" s="69">
        <v>12.05</v>
      </c>
      <c r="F16" s="89">
        <f>75*31</f>
        <v>2325</v>
      </c>
      <c r="H16">
        <v>7270</v>
      </c>
    </row>
    <row r="17" spans="3:8">
      <c r="H17">
        <v>7275</v>
      </c>
    </row>
    <row r="18" spans="3:8">
      <c r="C18" t="s">
        <v>26</v>
      </c>
      <c r="F18" s="34" t="s">
        <v>241</v>
      </c>
      <c r="H18">
        <v>7292</v>
      </c>
    </row>
    <row r="19" spans="3:8">
      <c r="H19">
        <v>7300</v>
      </c>
    </row>
    <row r="20" spans="3:8">
      <c r="H20">
        <v>7302</v>
      </c>
    </row>
    <row r="21" spans="3:8">
      <c r="H21">
        <v>7304</v>
      </c>
    </row>
    <row r="22" spans="3:8">
      <c r="H22">
        <v>7306</v>
      </c>
    </row>
    <row r="23" spans="3:8">
      <c r="H23">
        <v>7310</v>
      </c>
    </row>
    <row r="24" spans="3:8">
      <c r="H24">
        <v>7315</v>
      </c>
    </row>
    <row r="25" spans="3:8">
      <c r="H25">
        <v>7316</v>
      </c>
    </row>
    <row r="26" spans="3:8">
      <c r="H26">
        <v>7321</v>
      </c>
    </row>
    <row r="27" spans="3:8">
      <c r="H27">
        <v>7325</v>
      </c>
    </row>
    <row r="28" spans="3:8">
      <c r="H28">
        <v>7330</v>
      </c>
    </row>
  </sheetData>
  <sheetProtection algorithmName="SHA-512" hashValue="JFLzGn0L/fh6QzVDD3+plqXqjlA49wyHZwK+cA70ypoPrxOtq2akpy3GHPWkHNB17HDBml8RGbQ/UQIUTY0Oxg==" saltValue="QiX5p8lYKoOOuZkzWS0EqQ==" spinCount="100000" sheet="1" objects="1" scenarios="1"/>
  <pageMargins left="0.7" right="0.7" top="0.75" bottom="0.75" header="0.3" footer="0.3"/>
  <ignoredErrors>
    <ignoredError sqref="F7:F9 F12 F14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35F0-56B8-4811-B20A-7404F61D1B65}">
  <dimension ref="C2:I23"/>
  <sheetViews>
    <sheetView topLeftCell="D1" workbookViewId="0">
      <selection activeCell="F5" sqref="F5"/>
    </sheetView>
  </sheetViews>
  <sheetFormatPr defaultRowHeight="15"/>
  <cols>
    <col min="3" max="3" width="10.85546875" bestFit="1" customWidth="1"/>
    <col min="4" max="4" width="19.42578125" customWidth="1"/>
    <col min="5" max="5" width="18.28515625" customWidth="1"/>
    <col min="6" max="6" width="21.5703125" customWidth="1"/>
    <col min="13" max="13" width="19.42578125" bestFit="1" customWidth="1"/>
    <col min="14" max="14" width="5" bestFit="1" customWidth="1"/>
    <col min="15" max="15" width="5.28515625" bestFit="1" customWidth="1"/>
    <col min="16" max="16" width="11.5703125" bestFit="1" customWidth="1"/>
    <col min="17" max="17" width="5" bestFit="1" customWidth="1"/>
  </cols>
  <sheetData>
    <row r="2" spans="3:9">
      <c r="C2" t="s">
        <v>56</v>
      </c>
      <c r="I2" s="1"/>
    </row>
    <row r="3" spans="3:9" ht="14.25" customHeight="1" thickBot="1">
      <c r="H3" t="s">
        <v>294</v>
      </c>
    </row>
    <row r="4" spans="3:9" ht="12.75" customHeight="1">
      <c r="C4" s="61" t="s">
        <v>7</v>
      </c>
      <c r="D4" s="71" t="s">
        <v>224</v>
      </c>
      <c r="E4" s="71" t="s">
        <v>225</v>
      </c>
      <c r="F4" s="62" t="s">
        <v>236</v>
      </c>
      <c r="H4">
        <v>6208</v>
      </c>
    </row>
    <row r="5" spans="3:9" ht="12.75" customHeight="1">
      <c r="C5" s="63" t="s">
        <v>13</v>
      </c>
      <c r="D5" s="51">
        <v>9.73</v>
      </c>
      <c r="E5" s="51">
        <v>11.96</v>
      </c>
      <c r="F5" s="86">
        <f>75*31</f>
        <v>2325</v>
      </c>
      <c r="H5">
        <v>6214</v>
      </c>
    </row>
    <row r="6" spans="3:9">
      <c r="C6" s="63" t="s">
        <v>15</v>
      </c>
      <c r="D6" s="51">
        <v>9.73</v>
      </c>
      <c r="E6" s="51">
        <v>11.96</v>
      </c>
      <c r="F6" s="86">
        <f>75*31</f>
        <v>2325</v>
      </c>
      <c r="H6">
        <v>6215</v>
      </c>
    </row>
    <row r="7" spans="3:9">
      <c r="C7" s="63" t="s">
        <v>16</v>
      </c>
      <c r="D7" s="51">
        <v>8.27</v>
      </c>
      <c r="E7" s="51">
        <v>10.17</v>
      </c>
      <c r="F7" s="86">
        <f t="shared" ref="F7:F14" si="0">75*30</f>
        <v>2250</v>
      </c>
      <c r="H7">
        <v>6218</v>
      </c>
    </row>
    <row r="8" spans="3:9">
      <c r="C8" s="63" t="s">
        <v>17</v>
      </c>
      <c r="D8" s="51">
        <v>8.27</v>
      </c>
      <c r="E8" s="51">
        <v>10.17</v>
      </c>
      <c r="F8" s="86">
        <f>75*31</f>
        <v>2325</v>
      </c>
      <c r="H8">
        <v>6219</v>
      </c>
    </row>
    <row r="9" spans="3:9">
      <c r="C9" s="63" t="s">
        <v>18</v>
      </c>
      <c r="D9" s="51">
        <v>8.27</v>
      </c>
      <c r="E9" s="51">
        <v>10.17</v>
      </c>
      <c r="F9" s="86">
        <f t="shared" si="0"/>
        <v>2250</v>
      </c>
      <c r="H9">
        <v>6220</v>
      </c>
    </row>
    <row r="10" spans="3:9">
      <c r="C10" s="63" t="s">
        <v>19</v>
      </c>
      <c r="D10" s="51">
        <v>8.27</v>
      </c>
      <c r="E10" s="51">
        <v>10.17</v>
      </c>
      <c r="F10" s="86">
        <f>75*31</f>
        <v>2325</v>
      </c>
      <c r="H10">
        <v>6221</v>
      </c>
    </row>
    <row r="11" spans="3:9">
      <c r="C11" s="63" t="s">
        <v>20</v>
      </c>
      <c r="D11" s="51">
        <v>9.73</v>
      </c>
      <c r="E11" s="51">
        <v>11.96</v>
      </c>
      <c r="F11" s="86">
        <f>75*31</f>
        <v>2325</v>
      </c>
      <c r="H11">
        <v>6223</v>
      </c>
    </row>
    <row r="12" spans="3:9">
      <c r="C12" s="63" t="s">
        <v>21</v>
      </c>
      <c r="D12" s="51">
        <v>9.73</v>
      </c>
      <c r="E12" s="51">
        <v>11.96</v>
      </c>
      <c r="F12" s="86">
        <f>75*28</f>
        <v>2100</v>
      </c>
      <c r="H12">
        <v>6224</v>
      </c>
    </row>
    <row r="13" spans="3:9">
      <c r="C13" s="63" t="s">
        <v>22</v>
      </c>
      <c r="D13" s="51">
        <v>9.73</v>
      </c>
      <c r="E13" s="51">
        <v>11.96</v>
      </c>
      <c r="F13" s="86">
        <f>75*31</f>
        <v>2325</v>
      </c>
      <c r="H13">
        <v>6227</v>
      </c>
    </row>
    <row r="14" spans="3:9">
      <c r="C14" s="63" t="s">
        <v>23</v>
      </c>
      <c r="D14" s="51">
        <v>9.73</v>
      </c>
      <c r="E14" s="51">
        <v>11.96</v>
      </c>
      <c r="F14" s="86">
        <f t="shared" si="0"/>
        <v>2250</v>
      </c>
      <c r="H14">
        <v>6228</v>
      </c>
    </row>
    <row r="15" spans="3:9">
      <c r="C15" s="63" t="s">
        <v>24</v>
      </c>
      <c r="D15" s="51">
        <v>9.73</v>
      </c>
      <c r="E15" s="51">
        <v>11.96</v>
      </c>
      <c r="F15" s="86">
        <f>75*31</f>
        <v>2325</v>
      </c>
      <c r="H15">
        <v>6230</v>
      </c>
    </row>
    <row r="16" spans="3:9" ht="15.75" thickBot="1">
      <c r="C16" s="65" t="s">
        <v>25</v>
      </c>
      <c r="D16" s="55">
        <v>9.73</v>
      </c>
      <c r="E16" s="55">
        <v>11.96</v>
      </c>
      <c r="F16" s="87">
        <f>75*31</f>
        <v>2325</v>
      </c>
      <c r="H16">
        <v>6231</v>
      </c>
    </row>
    <row r="17" spans="3:8">
      <c r="H17">
        <v>6232</v>
      </c>
    </row>
    <row r="18" spans="3:8">
      <c r="C18" t="s">
        <v>26</v>
      </c>
      <c r="F18" s="34" t="s">
        <v>241</v>
      </c>
      <c r="H18">
        <v>6233</v>
      </c>
    </row>
    <row r="19" spans="3:8">
      <c r="H19">
        <v>6236</v>
      </c>
    </row>
    <row r="20" spans="3:8">
      <c r="H20">
        <v>6237</v>
      </c>
    </row>
    <row r="21" spans="3:8">
      <c r="H21">
        <v>6239</v>
      </c>
    </row>
    <row r="22" spans="3:8">
      <c r="H22">
        <v>6271</v>
      </c>
    </row>
    <row r="23" spans="3:8">
      <c r="H23">
        <v>6280</v>
      </c>
    </row>
  </sheetData>
  <sheetProtection algorithmName="SHA-512" hashValue="gkV3uTI+AqoZmC+tR8E3hRzwpbr/mHl0oqV/wbvKfUkp5amz2D203svoij41aYFIRfP1oQDwWrC4wlYx/KatkQ==" saltValue="Ekg4BEWPmFz41F1hw5F4bA==" spinCount="100000" sheet="1" objects="1" scenarios="1"/>
  <pageMargins left="0.7" right="0.7" top="0.75" bottom="0.75" header="0.3" footer="0.3"/>
  <ignoredErrors>
    <ignoredError sqref="F7:F9 F12 F14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1738-06F0-46AA-A49B-0A60E36E5233}">
  <dimension ref="A1:K50"/>
  <sheetViews>
    <sheetView workbookViewId="0">
      <selection activeCell="G5" sqref="G5"/>
    </sheetView>
  </sheetViews>
  <sheetFormatPr defaultRowHeight="15"/>
  <cols>
    <col min="1" max="1" width="68.140625" customWidth="1"/>
    <col min="3" max="3" width="10.28515625" bestFit="1" customWidth="1"/>
    <col min="5" max="5" width="10.7109375" bestFit="1" customWidth="1"/>
    <col min="8" max="8" width="15.85546875" customWidth="1"/>
    <col min="10" max="10" width="11.28515625" bestFit="1" customWidth="1"/>
    <col min="11" max="11" width="14.140625" bestFit="1" customWidth="1"/>
    <col min="14" max="14" width="11.140625" bestFit="1" customWidth="1"/>
    <col min="15" max="15" width="9.28515625" customWidth="1"/>
  </cols>
  <sheetData>
    <row r="1" spans="1:11" ht="45" customHeight="1">
      <c r="A1" s="1" t="s">
        <v>297</v>
      </c>
    </row>
    <row r="3" spans="1:11" ht="15.75" thickBot="1"/>
    <row r="4" spans="1:11" ht="60">
      <c r="C4" t="s">
        <v>298</v>
      </c>
      <c r="E4" s="61" t="s">
        <v>7</v>
      </c>
      <c r="F4" s="71" t="s">
        <v>224</v>
      </c>
      <c r="G4" s="71" t="s">
        <v>225</v>
      </c>
      <c r="H4" s="62" t="s">
        <v>299</v>
      </c>
      <c r="J4" s="57" t="s">
        <v>238</v>
      </c>
      <c r="K4" s="58" t="s">
        <v>300</v>
      </c>
    </row>
    <row r="5" spans="1:11">
      <c r="E5" s="63" t="s">
        <v>13</v>
      </c>
      <c r="F5" s="51">
        <v>6.6390000000000002</v>
      </c>
      <c r="G5" s="67">
        <v>9.9580000000000002</v>
      </c>
      <c r="H5" s="64">
        <f>INDEX($K$4:$K$22,MATCH(DASHBOARD!$F5,$J$4:$J$22,1))</f>
        <v>0.14000000000000001</v>
      </c>
      <c r="J5" s="52">
        <v>0</v>
      </c>
      <c r="K5" s="53">
        <v>0</v>
      </c>
    </row>
    <row r="6" spans="1:11">
      <c r="E6" s="63" t="s">
        <v>15</v>
      </c>
      <c r="F6" s="51">
        <v>5.9210000000000003</v>
      </c>
      <c r="G6" s="67">
        <v>8.8810000000000002</v>
      </c>
      <c r="H6" s="64">
        <f>INDEX($K$4:$K$22,MATCH(DASHBOARD!$F6,$J$4:$J$22,1))</f>
        <v>0.14000000000000001</v>
      </c>
      <c r="J6" s="52">
        <v>5000</v>
      </c>
      <c r="K6" s="53">
        <v>0.1</v>
      </c>
    </row>
    <row r="7" spans="1:11">
      <c r="E7" s="63" t="s">
        <v>16</v>
      </c>
      <c r="F7" s="51">
        <v>5.5620000000000003</v>
      </c>
      <c r="G7" s="67">
        <v>8.343</v>
      </c>
      <c r="H7" s="64">
        <f>INDEX($K$4:$K$22,MATCH(DASHBOARD!$F7,$J$4:$J$22,1))</f>
        <v>0.14000000000000001</v>
      </c>
      <c r="J7" s="52">
        <v>6000</v>
      </c>
      <c r="K7" s="53">
        <v>0.12</v>
      </c>
    </row>
    <row r="8" spans="1:11">
      <c r="E8" s="63" t="s">
        <v>17</v>
      </c>
      <c r="F8" s="51">
        <v>5.5620000000000003</v>
      </c>
      <c r="G8" s="67">
        <v>8.343</v>
      </c>
      <c r="H8" s="64">
        <f>INDEX($K$4:$K$22,MATCH(DASHBOARD!$F8,$J$4:$J$22,1))</f>
        <v>0.14000000000000001</v>
      </c>
      <c r="J8" s="52">
        <v>7000</v>
      </c>
      <c r="K8" s="53">
        <v>0.14000000000000001</v>
      </c>
    </row>
    <row r="9" spans="1:11">
      <c r="E9" s="63" t="s">
        <v>18</v>
      </c>
      <c r="F9" s="51">
        <v>5.5620000000000003</v>
      </c>
      <c r="G9" s="67">
        <v>8.343</v>
      </c>
      <c r="H9" s="64">
        <f>INDEX($K$4:$K$22,MATCH(DASHBOARD!$F9,$J$4:$J$22,1))</f>
        <v>0.14000000000000001</v>
      </c>
      <c r="J9" s="52">
        <v>8000</v>
      </c>
      <c r="K9" s="53">
        <v>0.16</v>
      </c>
    </row>
    <row r="10" spans="1:11">
      <c r="E10" s="63" t="s">
        <v>19</v>
      </c>
      <c r="F10" s="51">
        <v>5.5620000000000003</v>
      </c>
      <c r="G10" s="67">
        <v>8.343</v>
      </c>
      <c r="H10" s="64">
        <f>INDEX($K$4:$K$22,MATCH(DASHBOARD!$F10,$J$4:$J$22,1))</f>
        <v>0.14000000000000001</v>
      </c>
      <c r="J10" s="52">
        <v>9000</v>
      </c>
      <c r="K10" s="53">
        <v>0.18</v>
      </c>
    </row>
    <row r="11" spans="1:11">
      <c r="E11" s="63" t="s">
        <v>20</v>
      </c>
      <c r="F11" s="51">
        <v>5.7809999999999997</v>
      </c>
      <c r="G11" s="67">
        <v>8.6720000000000006</v>
      </c>
      <c r="H11" s="64">
        <f>INDEX($K$4:$K$22,MATCH(DASHBOARD!$F11,$J$4:$J$22,1))</f>
        <v>0.14000000000000001</v>
      </c>
      <c r="J11" s="52">
        <v>10000</v>
      </c>
      <c r="K11" s="53">
        <v>0.2</v>
      </c>
    </row>
    <row r="12" spans="1:11">
      <c r="E12" s="63" t="s">
        <v>21</v>
      </c>
      <c r="F12" s="51">
        <v>6.14</v>
      </c>
      <c r="G12" s="67">
        <v>9.2100000000000009</v>
      </c>
      <c r="H12" s="64">
        <f>INDEX($K$4:$K$22,MATCH(DASHBOARD!$F12,$J$4:$J$22,1))</f>
        <v>0.14000000000000001</v>
      </c>
      <c r="J12" s="52">
        <v>11000</v>
      </c>
      <c r="K12" s="53">
        <v>0.22</v>
      </c>
    </row>
    <row r="13" spans="1:11">
      <c r="E13" s="63" t="s">
        <v>22</v>
      </c>
      <c r="F13" s="51">
        <v>6.4390000000000001</v>
      </c>
      <c r="G13" s="67">
        <v>9.6590000000000007</v>
      </c>
      <c r="H13" s="64">
        <f>INDEX($K$4:$K$22,MATCH(DASHBOARD!$F13,$J$4:$J$22,1))</f>
        <v>0.14000000000000001</v>
      </c>
      <c r="J13" s="52">
        <v>12000</v>
      </c>
      <c r="K13" s="53">
        <v>0.24</v>
      </c>
    </row>
    <row r="14" spans="1:11">
      <c r="E14" s="63" t="s">
        <v>23</v>
      </c>
      <c r="F14" s="51">
        <v>6.6589999999999998</v>
      </c>
      <c r="G14" s="67">
        <v>9.9879999999999995</v>
      </c>
      <c r="H14" s="64">
        <f>INDEX($K$4:$K$22,MATCH(DASHBOARD!$F14,$J$4:$J$22,1))</f>
        <v>0.14000000000000001</v>
      </c>
      <c r="J14" s="52">
        <v>13000</v>
      </c>
      <c r="K14" s="53">
        <v>0.26</v>
      </c>
    </row>
    <row r="15" spans="1:11">
      <c r="E15" s="63" t="s">
        <v>24</v>
      </c>
      <c r="F15" s="51">
        <v>6.6989999999999998</v>
      </c>
      <c r="G15" s="67">
        <v>10.048</v>
      </c>
      <c r="H15" s="64">
        <f>INDEX($K$4:$K$22,MATCH(DASHBOARD!$F15,$J$4:$J$22,1))</f>
        <v>0.14000000000000001</v>
      </c>
      <c r="J15" s="52">
        <v>14000</v>
      </c>
      <c r="K15" s="53">
        <v>0.28000000000000003</v>
      </c>
    </row>
    <row r="16" spans="1:11" ht="15.75" thickBot="1">
      <c r="E16" s="65" t="s">
        <v>25</v>
      </c>
      <c r="F16" s="55">
        <v>6.7779999999999996</v>
      </c>
      <c r="G16" s="69">
        <v>10.167999999999999</v>
      </c>
      <c r="H16" s="66">
        <f>INDEX($K$4:$K$22,MATCH(DASHBOARD!$F16,$J$4:$J$22,1))</f>
        <v>0.14000000000000001</v>
      </c>
      <c r="J16" s="52">
        <v>15000</v>
      </c>
      <c r="K16" s="53">
        <v>0.3</v>
      </c>
    </row>
    <row r="17" spans="3:11">
      <c r="J17" s="52">
        <v>16000</v>
      </c>
      <c r="K17" s="53">
        <v>0.32</v>
      </c>
    </row>
    <row r="18" spans="3:11">
      <c r="E18" t="s">
        <v>26</v>
      </c>
      <c r="J18" s="52">
        <v>17000</v>
      </c>
      <c r="K18" s="53">
        <v>0.34</v>
      </c>
    </row>
    <row r="19" spans="3:11">
      <c r="J19" s="52">
        <v>18000</v>
      </c>
      <c r="K19" s="53">
        <v>0.36</v>
      </c>
    </row>
    <row r="20" spans="3:11">
      <c r="J20" s="52">
        <v>19000</v>
      </c>
      <c r="K20" s="53">
        <v>0.38</v>
      </c>
    </row>
    <row r="21" spans="3:11">
      <c r="J21" s="52">
        <v>20000</v>
      </c>
      <c r="K21" s="53">
        <v>0.4</v>
      </c>
    </row>
    <row r="22" spans="3:11" ht="15.75" thickBot="1">
      <c r="J22" s="54">
        <v>21000</v>
      </c>
      <c r="K22" s="56">
        <v>0.42</v>
      </c>
    </row>
    <row r="24" spans="3:11" ht="45.75">
      <c r="C24" s="136" t="s">
        <v>301</v>
      </c>
      <c r="E24" s="61" t="s">
        <v>7</v>
      </c>
      <c r="F24" s="71" t="s">
        <v>224</v>
      </c>
      <c r="G24" s="71" t="s">
        <v>225</v>
      </c>
      <c r="H24" s="62" t="s">
        <v>299</v>
      </c>
    </row>
    <row r="25" spans="3:11">
      <c r="E25" s="63" t="s">
        <v>13</v>
      </c>
      <c r="F25" s="51">
        <v>6.157</v>
      </c>
      <c r="G25" s="67">
        <v>9.2360000000000007</v>
      </c>
      <c r="H25" s="64">
        <f>INDEX($K$4:$K$22,MATCH(DASHBOARD!$F5,$J$4:$J$22,1))</f>
        <v>0.14000000000000001</v>
      </c>
    </row>
    <row r="26" spans="3:11">
      <c r="E26" s="63" t="s">
        <v>15</v>
      </c>
      <c r="F26" s="51">
        <v>6.157</v>
      </c>
      <c r="G26" s="67">
        <v>9.2360000000000007</v>
      </c>
      <c r="H26" s="64">
        <f>INDEX($K$4:$K$22,MATCH(DASHBOARD!$F6,$J$4:$J$22,1))</f>
        <v>0.14000000000000001</v>
      </c>
    </row>
    <row r="27" spans="3:11">
      <c r="E27" s="63" t="s">
        <v>16</v>
      </c>
      <c r="F27" s="51">
        <v>5.7409999999999997</v>
      </c>
      <c r="G27" s="67">
        <v>8.6110000000000007</v>
      </c>
      <c r="H27" s="64">
        <f>INDEX($K$4:$K$22,MATCH(DASHBOARD!$F7,$J$4:$J$22,1))</f>
        <v>0.14000000000000001</v>
      </c>
    </row>
    <row r="28" spans="3:11">
      <c r="E28" s="63" t="s">
        <v>17</v>
      </c>
      <c r="F28" s="51">
        <v>5.7409999999999997</v>
      </c>
      <c r="G28" s="67">
        <v>8.6110000000000007</v>
      </c>
      <c r="H28" s="64">
        <f>INDEX($K$4:$K$22,MATCH(DASHBOARD!$F8,$J$4:$J$22,1))</f>
        <v>0.14000000000000001</v>
      </c>
    </row>
    <row r="29" spans="3:11">
      <c r="E29" s="63" t="s">
        <v>18</v>
      </c>
      <c r="F29" s="51">
        <v>5.7409999999999997</v>
      </c>
      <c r="G29" s="67">
        <v>8.6110000000000007</v>
      </c>
      <c r="H29" s="64">
        <f>INDEX($K$4:$K$22,MATCH(DASHBOARD!$F9,$J$4:$J$22,1))</f>
        <v>0.14000000000000001</v>
      </c>
    </row>
    <row r="30" spans="3:11">
      <c r="E30" s="63" t="s">
        <v>19</v>
      </c>
      <c r="F30" s="51">
        <v>6.157</v>
      </c>
      <c r="G30" s="67">
        <v>9.2360000000000007</v>
      </c>
      <c r="H30" s="64">
        <f>INDEX($K$4:$K$22,MATCH(DASHBOARD!$F10,$J$4:$J$22,1))</f>
        <v>0.14000000000000001</v>
      </c>
    </row>
    <row r="31" spans="3:11">
      <c r="E31" s="63" t="s">
        <v>20</v>
      </c>
      <c r="F31" s="51">
        <v>6.157</v>
      </c>
      <c r="G31" s="67">
        <v>9.2360000000000007</v>
      </c>
      <c r="H31" s="64">
        <f>INDEX($K$4:$K$22,MATCH(DASHBOARD!$F11,$J$4:$J$22,1))</f>
        <v>0.14000000000000001</v>
      </c>
    </row>
    <row r="32" spans="3:11">
      <c r="E32" s="63" t="s">
        <v>21</v>
      </c>
      <c r="F32" s="51">
        <v>6.157</v>
      </c>
      <c r="G32" s="67">
        <v>9.2360000000000007</v>
      </c>
      <c r="H32" s="64">
        <f>INDEX($K$4:$K$22,MATCH(DASHBOARD!$F12,$J$4:$J$22,1))</f>
        <v>0.14000000000000001</v>
      </c>
    </row>
    <row r="33" spans="3:8">
      <c r="E33" s="63" t="s">
        <v>22</v>
      </c>
      <c r="F33" s="51">
        <v>6.157</v>
      </c>
      <c r="G33" s="67">
        <v>9.2360000000000007</v>
      </c>
      <c r="H33" s="64">
        <f>INDEX($K$4:$K$22,MATCH(DASHBOARD!$F13,$J$4:$J$22,1))</f>
        <v>0.14000000000000001</v>
      </c>
    </row>
    <row r="34" spans="3:8">
      <c r="E34" s="63" t="s">
        <v>23</v>
      </c>
      <c r="F34" s="51">
        <v>6.157</v>
      </c>
      <c r="G34" s="67">
        <v>9.2360000000000007</v>
      </c>
      <c r="H34" s="64">
        <f>INDEX($K$4:$K$22,MATCH(DASHBOARD!$F14,$J$4:$J$22,1))</f>
        <v>0.14000000000000001</v>
      </c>
    </row>
    <row r="35" spans="3:8">
      <c r="E35" s="63" t="s">
        <v>24</v>
      </c>
      <c r="F35" s="51">
        <v>6.157</v>
      </c>
      <c r="G35" s="67">
        <v>9.2360000000000007</v>
      </c>
      <c r="H35" s="64">
        <f>INDEX($K$4:$K$22,MATCH(DASHBOARD!$F15,$J$4:$J$22,1))</f>
        <v>0.14000000000000001</v>
      </c>
    </row>
    <row r="36" spans="3:8">
      <c r="E36" s="65" t="s">
        <v>25</v>
      </c>
      <c r="F36" s="51">
        <v>6.157</v>
      </c>
      <c r="G36" s="67">
        <v>9.2360000000000007</v>
      </c>
      <c r="H36" s="64">
        <f>INDEX($K$4:$K$22,MATCH(DASHBOARD!$F16,$J$4:$J$22,1))</f>
        <v>0.14000000000000001</v>
      </c>
    </row>
    <row r="38" spans="3:8" ht="45.75">
      <c r="C38" t="s">
        <v>173</v>
      </c>
      <c r="E38" s="149" t="s">
        <v>7</v>
      </c>
      <c r="F38" s="150" t="s">
        <v>224</v>
      </c>
      <c r="G38" s="150" t="s">
        <v>225</v>
      </c>
    </row>
    <row r="39" spans="3:8">
      <c r="E39" s="151" t="s">
        <v>13</v>
      </c>
      <c r="F39" s="152">
        <v>6.2720000000000002</v>
      </c>
      <c r="G39" s="153">
        <v>9.407</v>
      </c>
    </row>
    <row r="40" spans="3:8">
      <c r="E40" s="151" t="s">
        <v>15</v>
      </c>
      <c r="F40" s="152">
        <v>6.2720000000000002</v>
      </c>
      <c r="G40" s="153">
        <v>9.407</v>
      </c>
    </row>
    <row r="41" spans="3:8">
      <c r="E41" s="151" t="s">
        <v>16</v>
      </c>
      <c r="F41" s="152">
        <v>6.2720000000000002</v>
      </c>
      <c r="G41" s="153">
        <v>9.407</v>
      </c>
    </row>
    <row r="42" spans="3:8">
      <c r="E42" s="151" t="s">
        <v>17</v>
      </c>
      <c r="F42" s="152">
        <v>6.2720000000000002</v>
      </c>
      <c r="G42" s="153">
        <v>9.407</v>
      </c>
    </row>
    <row r="43" spans="3:8">
      <c r="E43" s="151" t="s">
        <v>18</v>
      </c>
      <c r="F43" s="152">
        <v>6.2720000000000002</v>
      </c>
      <c r="G43" s="153">
        <v>9.407</v>
      </c>
    </row>
    <row r="44" spans="3:8">
      <c r="E44" s="151" t="s">
        <v>19</v>
      </c>
      <c r="F44" s="152">
        <v>6.2720000000000002</v>
      </c>
      <c r="G44" s="153">
        <v>9.407</v>
      </c>
    </row>
    <row r="45" spans="3:8">
      <c r="E45" s="151" t="s">
        <v>20</v>
      </c>
      <c r="F45" s="152">
        <v>6.2720000000000002</v>
      </c>
      <c r="G45" s="153">
        <v>9.407</v>
      </c>
    </row>
    <row r="46" spans="3:8">
      <c r="E46" s="151" t="s">
        <v>21</v>
      </c>
      <c r="F46" s="152">
        <v>6.2720000000000002</v>
      </c>
      <c r="G46" s="153">
        <v>9.407</v>
      </c>
    </row>
    <row r="47" spans="3:8">
      <c r="E47" s="151" t="s">
        <v>22</v>
      </c>
      <c r="F47" s="152">
        <v>6.2720000000000002</v>
      </c>
      <c r="G47" s="153">
        <v>9.407</v>
      </c>
    </row>
    <row r="48" spans="3:8">
      <c r="E48" s="151" t="s">
        <v>23</v>
      </c>
      <c r="F48" s="152">
        <v>6.2720000000000002</v>
      </c>
      <c r="G48" s="153">
        <v>9.407</v>
      </c>
    </row>
    <row r="49" spans="5:7">
      <c r="E49" s="151" t="s">
        <v>24</v>
      </c>
      <c r="F49" s="152">
        <v>6.2720000000000002</v>
      </c>
      <c r="G49" s="153">
        <v>9.407</v>
      </c>
    </row>
    <row r="50" spans="5:7">
      <c r="E50" s="154" t="s">
        <v>25</v>
      </c>
      <c r="F50" s="152">
        <v>6.2720000000000002</v>
      </c>
      <c r="G50" s="153">
        <v>9.407</v>
      </c>
    </row>
  </sheetData>
  <sheetProtection algorithmName="SHA-512" hashValue="fKtfPKjb4oxHkr+g0d8KIgmkvLdzh0EOTLU4LUoWxbgrMAE5DMir5Mm4iGa+lg65Dcfmb/cmREpixZ4GFsf9Lg==" saltValue="dmKHR5TxWoViyHMLw0weu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B34D5-306C-4FD2-A580-DF5D2F82E630}">
  <dimension ref="A1:J26"/>
  <sheetViews>
    <sheetView workbookViewId="0">
      <selection activeCell="F4" sqref="F4"/>
    </sheetView>
  </sheetViews>
  <sheetFormatPr defaultRowHeight="15"/>
  <cols>
    <col min="1" max="1" width="54.42578125" customWidth="1"/>
    <col min="3" max="3" width="10.85546875" bestFit="1" customWidth="1"/>
    <col min="4" max="4" width="9" bestFit="1" customWidth="1"/>
    <col min="5" max="5" width="7.5703125" bestFit="1" customWidth="1"/>
    <col min="6" max="6" width="14.7109375" customWidth="1"/>
    <col min="7" max="7" width="12.28515625" customWidth="1"/>
    <col min="9" max="9" width="11.28515625" bestFit="1" customWidth="1"/>
    <col min="10" max="10" width="14.140625" bestFit="1" customWidth="1"/>
    <col min="13" max="13" width="11.140625" bestFit="1" customWidth="1"/>
  </cols>
  <sheetData>
    <row r="1" spans="1:10" ht="42.75" customHeight="1">
      <c r="A1" s="27" t="s">
        <v>302</v>
      </c>
    </row>
    <row r="2" spans="1:10" ht="15.75" thickBot="1"/>
    <row r="3" spans="1:10" ht="60">
      <c r="C3" s="61" t="s">
        <v>7</v>
      </c>
      <c r="D3" s="71" t="s">
        <v>224</v>
      </c>
      <c r="E3" s="71" t="s">
        <v>225</v>
      </c>
      <c r="F3" s="71" t="s">
        <v>303</v>
      </c>
      <c r="G3" s="62" t="s">
        <v>299</v>
      </c>
      <c r="I3" s="57" t="s">
        <v>238</v>
      </c>
      <c r="J3" s="58" t="s">
        <v>300</v>
      </c>
    </row>
    <row r="4" spans="1:10">
      <c r="C4" s="63" t="s">
        <v>13</v>
      </c>
      <c r="D4" s="67">
        <v>7.52</v>
      </c>
      <c r="E4" s="67">
        <v>11.28</v>
      </c>
      <c r="F4" s="49">
        <f>0.015</f>
        <v>1.4999999999999999E-2</v>
      </c>
      <c r="G4" s="64">
        <f>INDEX($J$3:$J$26,MATCH(DASHBOARD!$F5,'DFMC (SA)'!$I$3:$I$26,1))</f>
        <v>0.14000000000000001</v>
      </c>
      <c r="I4" s="52">
        <v>0</v>
      </c>
      <c r="J4" s="53">
        <v>0</v>
      </c>
    </row>
    <row r="5" spans="1:10">
      <c r="C5" s="63" t="s">
        <v>15</v>
      </c>
      <c r="D5" s="67">
        <v>6.78</v>
      </c>
      <c r="E5" s="67">
        <v>10.17</v>
      </c>
      <c r="F5" s="49">
        <f t="shared" ref="F5:F15" si="0">0.015</f>
        <v>1.4999999999999999E-2</v>
      </c>
      <c r="G5" s="64">
        <f>INDEX($J$3:$J$26,MATCH(DASHBOARD!$F6,'DFMC (SA)'!$I$3:$I$26,1))</f>
        <v>0.14000000000000001</v>
      </c>
      <c r="I5" s="52">
        <v>1000</v>
      </c>
      <c r="J5" s="53">
        <v>0.02</v>
      </c>
    </row>
    <row r="6" spans="1:10">
      <c r="C6" s="63" t="s">
        <v>16</v>
      </c>
      <c r="D6" s="67">
        <v>6.4</v>
      </c>
      <c r="E6" s="67">
        <v>9.6</v>
      </c>
      <c r="F6" s="49">
        <f t="shared" si="0"/>
        <v>1.4999999999999999E-2</v>
      </c>
      <c r="G6" s="64">
        <f>INDEX($J$3:$J$26,MATCH(DASHBOARD!$F7,'DFMC (SA)'!$I$3:$I$26,1))</f>
        <v>0.14000000000000001</v>
      </c>
      <c r="I6" s="52">
        <v>2000</v>
      </c>
      <c r="J6" s="53">
        <v>0.04</v>
      </c>
    </row>
    <row r="7" spans="1:10">
      <c r="C7" s="63" t="s">
        <v>17</v>
      </c>
      <c r="D7" s="67">
        <v>6.4</v>
      </c>
      <c r="E7" s="67">
        <v>9.6</v>
      </c>
      <c r="F7" s="49">
        <f t="shared" si="0"/>
        <v>1.4999999999999999E-2</v>
      </c>
      <c r="G7" s="64">
        <f>INDEX($J$3:$J$26,MATCH(DASHBOARD!$F8,'DFMC (SA)'!$I$3:$I$26,1))</f>
        <v>0.14000000000000001</v>
      </c>
      <c r="I7" s="52">
        <v>3000</v>
      </c>
      <c r="J7" s="53">
        <v>0.06</v>
      </c>
    </row>
    <row r="8" spans="1:10">
      <c r="C8" s="63" t="s">
        <v>18</v>
      </c>
      <c r="D8" s="67">
        <v>6.4</v>
      </c>
      <c r="E8" s="67">
        <v>9.6</v>
      </c>
      <c r="F8" s="49">
        <f t="shared" si="0"/>
        <v>1.4999999999999999E-2</v>
      </c>
      <c r="G8" s="64">
        <f>INDEX($J$3:$J$26,MATCH(DASHBOARD!$F9,'DFMC (SA)'!$I$3:$I$26,1))</f>
        <v>0.14000000000000001</v>
      </c>
      <c r="I8" s="52">
        <v>4000</v>
      </c>
      <c r="J8" s="53">
        <v>0.08</v>
      </c>
    </row>
    <row r="9" spans="1:10">
      <c r="C9" s="63" t="s">
        <v>19</v>
      </c>
      <c r="D9" s="67">
        <v>6.4</v>
      </c>
      <c r="E9" s="67">
        <v>9.6</v>
      </c>
      <c r="F9" s="49">
        <f t="shared" si="0"/>
        <v>1.4999999999999999E-2</v>
      </c>
      <c r="G9" s="64">
        <f>INDEX($J$3:$J$26,MATCH(DASHBOARD!$F10,'DFMC (SA)'!$I$3:$I$26,1))</f>
        <v>0.14000000000000001</v>
      </c>
      <c r="I9" s="52">
        <v>5000</v>
      </c>
      <c r="J9" s="53">
        <v>0.1</v>
      </c>
    </row>
    <row r="10" spans="1:10">
      <c r="C10" s="63" t="s">
        <v>20</v>
      </c>
      <c r="D10" s="67">
        <v>6.8</v>
      </c>
      <c r="E10" s="67">
        <v>10.199999999999999</v>
      </c>
      <c r="F10" s="49">
        <f t="shared" si="0"/>
        <v>1.4999999999999999E-2</v>
      </c>
      <c r="G10" s="64">
        <f>INDEX($J$3:$J$26,MATCH(DASHBOARD!$F11,'DFMC (SA)'!$I$3:$I$26,1))</f>
        <v>0.14000000000000001</v>
      </c>
      <c r="I10" s="52">
        <v>6000</v>
      </c>
      <c r="J10" s="53">
        <v>0.12</v>
      </c>
    </row>
    <row r="11" spans="1:10">
      <c r="C11" s="63" t="s">
        <v>21</v>
      </c>
      <c r="D11" s="67">
        <v>7.04</v>
      </c>
      <c r="E11" s="67">
        <v>10.56</v>
      </c>
      <c r="F11" s="49">
        <f t="shared" si="0"/>
        <v>1.4999999999999999E-2</v>
      </c>
      <c r="G11" s="64">
        <f>INDEX($J$3:$J$26,MATCH(DASHBOARD!$F12,'DFMC (SA)'!$I$3:$I$26,1))</f>
        <v>0.14000000000000001</v>
      </c>
      <c r="I11" s="52">
        <v>7000</v>
      </c>
      <c r="J11" s="53">
        <v>0.14000000000000001</v>
      </c>
    </row>
    <row r="12" spans="1:10">
      <c r="C12" s="63" t="s">
        <v>22</v>
      </c>
      <c r="D12" s="67">
        <v>7.63</v>
      </c>
      <c r="E12" s="67">
        <v>11.04</v>
      </c>
      <c r="F12" s="49">
        <f t="shared" si="0"/>
        <v>1.4999999999999999E-2</v>
      </c>
      <c r="G12" s="64">
        <f>INDEX($J$3:$J$26,MATCH(DASHBOARD!$F13,'DFMC (SA)'!$I$3:$I$26,1))</f>
        <v>0.14000000000000001</v>
      </c>
      <c r="I12" s="52">
        <v>8000</v>
      </c>
      <c r="J12" s="53">
        <v>0.16</v>
      </c>
    </row>
    <row r="13" spans="1:10">
      <c r="C13" s="63" t="s">
        <v>23</v>
      </c>
      <c r="D13" s="67">
        <v>7.54</v>
      </c>
      <c r="E13" s="67">
        <v>11.31</v>
      </c>
      <c r="F13" s="49">
        <f t="shared" si="0"/>
        <v>1.4999999999999999E-2</v>
      </c>
      <c r="G13" s="64">
        <f>INDEX($J$3:$J$26,MATCH(DASHBOARD!$F14,'DFMC (SA)'!$I$3:$I$26,1))</f>
        <v>0.14000000000000001</v>
      </c>
      <c r="I13" s="52">
        <v>9000</v>
      </c>
      <c r="J13" s="53">
        <v>0.18</v>
      </c>
    </row>
    <row r="14" spans="1:10">
      <c r="C14" s="63" t="s">
        <v>24</v>
      </c>
      <c r="D14" s="67">
        <v>7.68</v>
      </c>
      <c r="E14" s="67">
        <v>11.52</v>
      </c>
      <c r="F14" s="49">
        <f t="shared" si="0"/>
        <v>1.4999999999999999E-2</v>
      </c>
      <c r="G14" s="64">
        <f>INDEX($J$3:$J$26,MATCH(DASHBOARD!$F15,'DFMC (SA)'!$I$3:$I$26,1))</f>
        <v>0.14000000000000001</v>
      </c>
      <c r="I14" s="52">
        <v>10000</v>
      </c>
      <c r="J14" s="53">
        <v>0.2</v>
      </c>
    </row>
    <row r="15" spans="1:10" ht="15.75" thickBot="1">
      <c r="C15" s="65" t="s">
        <v>25</v>
      </c>
      <c r="D15" s="69">
        <v>7.68</v>
      </c>
      <c r="E15" s="69">
        <v>11.52</v>
      </c>
      <c r="F15" s="74">
        <f t="shared" si="0"/>
        <v>1.4999999999999999E-2</v>
      </c>
      <c r="G15" s="66">
        <f>INDEX($J$3:$J$26,MATCH(DASHBOARD!$F16,'DFMC (SA)'!$I$3:$I$26,1))</f>
        <v>0.14000000000000001</v>
      </c>
      <c r="I15" s="52">
        <v>11000</v>
      </c>
      <c r="J15" s="53">
        <v>0.22</v>
      </c>
    </row>
    <row r="16" spans="1:10">
      <c r="I16" s="52">
        <v>12000</v>
      </c>
      <c r="J16" s="53">
        <v>0.24</v>
      </c>
    </row>
    <row r="17" spans="3:10">
      <c r="C17" t="s">
        <v>26</v>
      </c>
      <c r="I17" s="52">
        <v>13000</v>
      </c>
      <c r="J17" s="53">
        <v>0.26</v>
      </c>
    </row>
    <row r="18" spans="3:10">
      <c r="I18" s="52">
        <v>14000</v>
      </c>
      <c r="J18" s="53">
        <v>0.28000000000000003</v>
      </c>
    </row>
    <row r="19" spans="3:10">
      <c r="I19" s="52">
        <v>15000</v>
      </c>
      <c r="J19" s="53">
        <v>0.3</v>
      </c>
    </row>
    <row r="20" spans="3:10">
      <c r="I20" s="52">
        <v>16000</v>
      </c>
      <c r="J20" s="53">
        <v>0.32</v>
      </c>
    </row>
    <row r="21" spans="3:10">
      <c r="I21" s="52">
        <v>17000</v>
      </c>
      <c r="J21" s="53">
        <v>0.34</v>
      </c>
    </row>
    <row r="22" spans="3:10">
      <c r="I22" s="52">
        <v>18000</v>
      </c>
      <c r="J22" s="53">
        <v>0.36</v>
      </c>
    </row>
    <row r="23" spans="3:10">
      <c r="I23" s="52">
        <v>19000</v>
      </c>
      <c r="J23" s="53">
        <v>0.38</v>
      </c>
    </row>
    <row r="24" spans="3:10">
      <c r="I24" s="52">
        <v>20000</v>
      </c>
      <c r="J24" s="53">
        <v>0.4</v>
      </c>
    </row>
    <row r="25" spans="3:10">
      <c r="I25" s="52">
        <v>21000</v>
      </c>
      <c r="J25" s="53">
        <v>0.42</v>
      </c>
    </row>
    <row r="26" spans="3:10" ht="15.75" thickBot="1">
      <c r="I26" s="54">
        <v>22000</v>
      </c>
      <c r="J26" s="56">
        <v>0.42</v>
      </c>
    </row>
  </sheetData>
  <sheetProtection algorithmName="SHA-512" hashValue="g4+TAYwJoOHdj9+rVXCm5CvKTgoQY9mFXm/oyJnHrw4dmovJUYA3HLUHZUewF3nIG1YlFXmC3yYDT3nUyfIqDw==" saltValue="gtbHjrRFm1sWk36ISLIsLQ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DB84-ED46-4C48-88A2-17D0BA1CECA4}">
  <dimension ref="A1:G15"/>
  <sheetViews>
    <sheetView workbookViewId="0">
      <selection activeCell="G4" sqref="G4"/>
    </sheetView>
  </sheetViews>
  <sheetFormatPr defaultRowHeight="15"/>
  <sheetData>
    <row r="1" spans="1:7">
      <c r="A1" t="s">
        <v>304</v>
      </c>
      <c r="C1" t="s">
        <v>305</v>
      </c>
      <c r="F1" t="s">
        <v>306</v>
      </c>
    </row>
    <row r="2" spans="1:7" ht="15.75" thickBot="1"/>
    <row r="3" spans="1:7" ht="45">
      <c r="C3" s="61" t="s">
        <v>7</v>
      </c>
      <c r="D3" s="62" t="s">
        <v>307</v>
      </c>
      <c r="F3" s="61" t="s">
        <v>7</v>
      </c>
      <c r="G3" s="62" t="s">
        <v>307</v>
      </c>
    </row>
    <row r="4" spans="1:7">
      <c r="C4" s="63" t="s">
        <v>13</v>
      </c>
      <c r="D4" s="90">
        <v>0.72</v>
      </c>
      <c r="F4" s="63" t="s">
        <v>13</v>
      </c>
      <c r="G4" s="90">
        <v>0.93</v>
      </c>
    </row>
    <row r="5" spans="1:7">
      <c r="C5" s="63" t="s">
        <v>15</v>
      </c>
      <c r="D5" s="90">
        <v>0.72</v>
      </c>
      <c r="F5" s="63" t="s">
        <v>15</v>
      </c>
      <c r="G5" s="90">
        <v>0.93</v>
      </c>
    </row>
    <row r="6" spans="1:7">
      <c r="C6" s="63" t="s">
        <v>16</v>
      </c>
      <c r="D6" s="90">
        <v>0.69</v>
      </c>
      <c r="F6" s="63" t="s">
        <v>16</v>
      </c>
      <c r="G6" s="90">
        <v>0.9</v>
      </c>
    </row>
    <row r="7" spans="1:7">
      <c r="C7" s="63" t="s">
        <v>17</v>
      </c>
      <c r="D7" s="90">
        <v>0.69</v>
      </c>
      <c r="F7" s="63" t="s">
        <v>17</v>
      </c>
      <c r="G7" s="90">
        <v>0.9</v>
      </c>
    </row>
    <row r="8" spans="1:7">
      <c r="C8" s="63" t="s">
        <v>18</v>
      </c>
      <c r="D8" s="90">
        <v>0.69</v>
      </c>
      <c r="F8" s="63" t="s">
        <v>18</v>
      </c>
      <c r="G8" s="90">
        <v>0.9</v>
      </c>
    </row>
    <row r="9" spans="1:7">
      <c r="C9" s="63" t="s">
        <v>19</v>
      </c>
      <c r="D9" s="90">
        <v>0.72</v>
      </c>
      <c r="F9" s="63" t="s">
        <v>19</v>
      </c>
      <c r="G9" s="90">
        <v>0.93</v>
      </c>
    </row>
    <row r="10" spans="1:7">
      <c r="C10" s="63" t="s">
        <v>20</v>
      </c>
      <c r="D10" s="90">
        <v>0.77</v>
      </c>
      <c r="F10" s="63" t="s">
        <v>20</v>
      </c>
      <c r="G10" s="90">
        <v>0.98</v>
      </c>
    </row>
    <row r="11" spans="1:7">
      <c r="C11" s="63" t="s">
        <v>21</v>
      </c>
      <c r="D11" s="90">
        <v>0.83</v>
      </c>
      <c r="F11" s="63" t="s">
        <v>21</v>
      </c>
      <c r="G11" s="90">
        <v>1.04</v>
      </c>
    </row>
    <row r="12" spans="1:7">
      <c r="C12" s="63" t="s">
        <v>22</v>
      </c>
      <c r="D12" s="90">
        <v>0.83</v>
      </c>
      <c r="F12" s="63" t="s">
        <v>22</v>
      </c>
      <c r="G12" s="90">
        <v>1.04</v>
      </c>
    </row>
    <row r="13" spans="1:7">
      <c r="C13" s="63" t="s">
        <v>23</v>
      </c>
      <c r="D13" s="90">
        <v>0.83</v>
      </c>
      <c r="F13" s="63" t="s">
        <v>23</v>
      </c>
      <c r="G13" s="90">
        <v>1.04</v>
      </c>
    </row>
    <row r="14" spans="1:7">
      <c r="C14" s="63" t="s">
        <v>24</v>
      </c>
      <c r="D14" s="90">
        <v>0.83</v>
      </c>
      <c r="F14" s="63" t="s">
        <v>24</v>
      </c>
      <c r="G14" s="90">
        <v>1.04</v>
      </c>
    </row>
    <row r="15" spans="1:7" ht="15.75" thickBot="1">
      <c r="C15" s="65" t="s">
        <v>25</v>
      </c>
      <c r="D15" s="91">
        <v>0.8</v>
      </c>
      <c r="F15" s="65" t="s">
        <v>25</v>
      </c>
      <c r="G15" s="91">
        <v>1.01</v>
      </c>
    </row>
  </sheetData>
  <sheetProtection algorithmName="SHA-512" hashValue="Gh7QOGH2bEVVUxkt/cSCu/cJaeUdKIAGBNVN+SeMTIALfSjIarfIKSj2+yTFHHL9FLGvJ1CnjgJnMqosPlWfLA==" saltValue="DLyqe8kb2F7GsR5eFeNExA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A2FD-BF3E-4A11-8CA1-5C3427485D24}">
  <dimension ref="B2:Q118"/>
  <sheetViews>
    <sheetView topLeftCell="A2" workbookViewId="0">
      <selection activeCell="P27" sqref="P27"/>
    </sheetView>
  </sheetViews>
  <sheetFormatPr defaultRowHeight="15"/>
  <cols>
    <col min="6" max="6" width="10.85546875" bestFit="1" customWidth="1"/>
    <col min="7" max="7" width="20" customWidth="1"/>
    <col min="9" max="9" width="15.28515625" customWidth="1"/>
    <col min="10" max="10" width="15.85546875" customWidth="1"/>
    <col min="15" max="15" width="10.7109375" bestFit="1" customWidth="1"/>
  </cols>
  <sheetData>
    <row r="2" spans="2:17" ht="91.5">
      <c r="C2" t="s">
        <v>308</v>
      </c>
      <c r="E2" s="136" t="s">
        <v>309</v>
      </c>
      <c r="F2" s="61" t="s">
        <v>7</v>
      </c>
      <c r="G2" s="71" t="s">
        <v>224</v>
      </c>
      <c r="H2" s="71" t="s">
        <v>225</v>
      </c>
      <c r="I2" s="71" t="s">
        <v>310</v>
      </c>
      <c r="J2" s="62" t="s">
        <v>311</v>
      </c>
      <c r="K2" s="62" t="s">
        <v>312</v>
      </c>
      <c r="L2" s="62" t="s">
        <v>313</v>
      </c>
      <c r="O2" s="141" t="s">
        <v>314</v>
      </c>
      <c r="P2" s="142" t="s">
        <v>315</v>
      </c>
      <c r="Q2" s="143" t="s">
        <v>316</v>
      </c>
    </row>
    <row r="3" spans="2:17">
      <c r="B3" s="24"/>
      <c r="C3" s="24">
        <v>7120</v>
      </c>
      <c r="F3" s="63" t="s">
        <v>13</v>
      </c>
      <c r="G3" s="51">
        <v>6.64</v>
      </c>
      <c r="H3" s="51">
        <v>9.2799999999999994</v>
      </c>
      <c r="I3" s="51">
        <v>0</v>
      </c>
      <c r="J3" s="53">
        <v>0</v>
      </c>
      <c r="K3" s="64">
        <f>INDEX($P$3:$P$16, MATCH(DASHBOARD!$F$5,$O$3:$O$16,1))</f>
        <v>7.0000000000000007E-2</v>
      </c>
      <c r="L3" s="64">
        <f>INDEX($Q$3:$Q$16, MATCH(DASHBOARD!F5,$O$3:$O$16,1))</f>
        <v>9.8000000000000004E-2</v>
      </c>
      <c r="O3" s="144">
        <v>0</v>
      </c>
      <c r="P3" s="140">
        <v>0</v>
      </c>
      <c r="Q3" s="145">
        <v>0</v>
      </c>
    </row>
    <row r="4" spans="2:17">
      <c r="B4" s="24"/>
      <c r="C4" s="24">
        <v>7140</v>
      </c>
      <c r="F4" s="63" t="s">
        <v>15</v>
      </c>
      <c r="G4" s="51">
        <v>6.03</v>
      </c>
      <c r="H4" s="51">
        <v>8.43</v>
      </c>
      <c r="I4" s="51">
        <v>0</v>
      </c>
      <c r="J4" s="53">
        <v>0</v>
      </c>
      <c r="K4" s="64">
        <f>INDEX($P$3:$P$16, MATCH(DASHBOARD!$F$5,$O$3:$O$16,1))</f>
        <v>7.0000000000000007E-2</v>
      </c>
      <c r="L4" s="64">
        <f>INDEX($Q$3:$Q$16, MATCH(DASHBOARD!F6,$O$3:$O$16,1))</f>
        <v>9.8000000000000004E-2</v>
      </c>
      <c r="O4" s="144">
        <v>1651</v>
      </c>
      <c r="P4" s="140">
        <v>0.01</v>
      </c>
      <c r="Q4" s="145">
        <v>1.4E-2</v>
      </c>
    </row>
    <row r="5" spans="2:17">
      <c r="B5" s="24"/>
      <c r="C5" s="24">
        <v>7210</v>
      </c>
      <c r="F5" s="63" t="s">
        <v>16</v>
      </c>
      <c r="G5" s="51">
        <v>6.03</v>
      </c>
      <c r="H5" s="51">
        <v>8.43</v>
      </c>
      <c r="I5" s="51">
        <v>0</v>
      </c>
      <c r="J5" s="53">
        <v>0</v>
      </c>
      <c r="K5" s="64">
        <f>INDEX($P$3:$P$16, MATCH(DASHBOARD!$F$5,$O$3:$O$16,1))</f>
        <v>7.0000000000000007E-2</v>
      </c>
      <c r="L5" s="64">
        <f>INDEX($Q$3:$Q$16, MATCH(DASHBOARD!F7,$O$3:$O$16,1))</f>
        <v>9.8000000000000004E-2</v>
      </c>
      <c r="O5" s="144">
        <v>2701</v>
      </c>
      <c r="P5" s="140">
        <v>0.02</v>
      </c>
      <c r="Q5" s="145">
        <v>2.8000000000000001E-2</v>
      </c>
    </row>
    <row r="6" spans="2:17">
      <c r="B6" s="24"/>
      <c r="C6" s="24">
        <v>7216</v>
      </c>
      <c r="F6" s="63" t="s">
        <v>17</v>
      </c>
      <c r="G6" s="51">
        <v>6.03</v>
      </c>
      <c r="H6" s="51">
        <v>8.43</v>
      </c>
      <c r="I6" s="51">
        <v>0</v>
      </c>
      <c r="J6" s="53">
        <v>0</v>
      </c>
      <c r="K6" s="64">
        <f>INDEX($P$3:$P$16, MATCH(DASHBOARD!$F$5,$O$3:$O$16,1))</f>
        <v>7.0000000000000007E-2</v>
      </c>
      <c r="L6" s="64">
        <f>INDEX($Q$3:$Q$16, MATCH(DASHBOARD!F8,$O$3:$O$16,1))</f>
        <v>9.8000000000000004E-2</v>
      </c>
      <c r="O6" s="144">
        <v>3751</v>
      </c>
      <c r="P6" s="140">
        <v>0.05</v>
      </c>
      <c r="Q6" s="145">
        <v>7.0000000000000007E-2</v>
      </c>
    </row>
    <row r="7" spans="2:17">
      <c r="B7" s="24"/>
      <c r="C7" s="24">
        <v>7260</v>
      </c>
      <c r="F7" s="63" t="s">
        <v>18</v>
      </c>
      <c r="G7" s="51">
        <v>6.03</v>
      </c>
      <c r="H7" s="51">
        <v>8.43</v>
      </c>
      <c r="I7" s="51">
        <v>0</v>
      </c>
      <c r="J7" s="53">
        <v>0</v>
      </c>
      <c r="K7" s="64">
        <f>INDEX($P$3:$P$16, MATCH(DASHBOARD!$F$5,$O$3:$O$16,1))</f>
        <v>7.0000000000000007E-2</v>
      </c>
      <c r="L7" s="64">
        <f>INDEX($Q$3:$Q$16, MATCH(DASHBOARD!F9,$O$3:$O$16,1))</f>
        <v>9.8000000000000004E-2</v>
      </c>
      <c r="O7" s="144">
        <v>5801</v>
      </c>
      <c r="P7" s="140">
        <v>7.0000000000000007E-2</v>
      </c>
      <c r="Q7" s="145">
        <v>9.8000000000000004E-2</v>
      </c>
    </row>
    <row r="8" spans="2:17">
      <c r="B8" s="24"/>
      <c r="C8" s="24">
        <v>7261</v>
      </c>
      <c r="F8" s="63" t="s">
        <v>19</v>
      </c>
      <c r="G8" s="51">
        <v>6.64</v>
      </c>
      <c r="H8" s="51">
        <v>9.2799999999999994</v>
      </c>
      <c r="I8" s="51">
        <v>0</v>
      </c>
      <c r="J8" s="53">
        <v>0</v>
      </c>
      <c r="K8" s="64">
        <f>INDEX($P$3:$P$16, MATCH(DASHBOARD!$F$5,$O$3:$O$16,1))</f>
        <v>7.0000000000000007E-2</v>
      </c>
      <c r="L8" s="64">
        <f>INDEX($Q$3:$Q$16, MATCH(DASHBOARD!F10,$O$3:$O$16,1))</f>
        <v>9.8000000000000004E-2</v>
      </c>
      <c r="O8" s="144">
        <v>7901</v>
      </c>
      <c r="P8" s="140">
        <v>0.12</v>
      </c>
      <c r="Q8" s="145">
        <v>0.16800000000000001</v>
      </c>
    </row>
    <row r="9" spans="2:17">
      <c r="B9" s="24"/>
      <c r="C9" s="24">
        <v>7262</v>
      </c>
      <c r="F9" s="63" t="s">
        <v>20</v>
      </c>
      <c r="G9" s="51">
        <v>6.64</v>
      </c>
      <c r="H9" s="51">
        <v>9.2799999999999994</v>
      </c>
      <c r="I9" s="51">
        <v>0.13</v>
      </c>
      <c r="J9" s="53">
        <v>0.18</v>
      </c>
      <c r="K9" s="64">
        <f>INDEX($P$3:$P$16, MATCH(DASHBOARD!$F$5,$O$3:$O$16,1))</f>
        <v>7.0000000000000007E-2</v>
      </c>
      <c r="L9" s="64">
        <f>INDEX($Q$3:$Q$16, MATCH(DASHBOARD!F11,$O$3:$O$16,1))</f>
        <v>9.8000000000000004E-2</v>
      </c>
      <c r="O9" s="144">
        <v>10001</v>
      </c>
      <c r="P9" s="140">
        <v>0.16</v>
      </c>
      <c r="Q9" s="145">
        <v>0.224</v>
      </c>
    </row>
    <row r="10" spans="2:17">
      <c r="B10" s="24"/>
      <c r="C10" s="24">
        <v>7263</v>
      </c>
      <c r="F10" s="63" t="s">
        <v>21</v>
      </c>
      <c r="G10" s="51">
        <v>6.64</v>
      </c>
      <c r="H10" s="51">
        <v>9.2799999999999994</v>
      </c>
      <c r="I10" s="51">
        <v>0.13</v>
      </c>
      <c r="J10" s="53">
        <v>0.18</v>
      </c>
      <c r="K10" s="64">
        <f>INDEX($P$3:$P$16, MATCH(DASHBOARD!$F$5,$O$3:$O$16,1))</f>
        <v>7.0000000000000007E-2</v>
      </c>
      <c r="L10" s="64">
        <f>INDEX($Q$3:$Q$16, MATCH(DASHBOARD!F12,$O$3:$O$16,1))</f>
        <v>9.8000000000000004E-2</v>
      </c>
      <c r="O10" s="144">
        <v>12501</v>
      </c>
      <c r="P10" s="140">
        <v>0.18</v>
      </c>
      <c r="Q10" s="145">
        <v>0.252</v>
      </c>
    </row>
    <row r="11" spans="2:17">
      <c r="B11" s="24"/>
      <c r="C11" s="24">
        <v>7264</v>
      </c>
      <c r="F11" s="63" t="s">
        <v>22</v>
      </c>
      <c r="G11" s="51">
        <v>6.64</v>
      </c>
      <c r="H11" s="51">
        <v>9.2799999999999994</v>
      </c>
      <c r="I11" s="51">
        <v>0.13</v>
      </c>
      <c r="J11" s="53">
        <v>0.18</v>
      </c>
      <c r="K11" s="64">
        <f>INDEX($P$3:$P$16, MATCH(DASHBOARD!$F$5,$O$3:$O$16,1))</f>
        <v>7.0000000000000007E-2</v>
      </c>
      <c r="L11" s="64">
        <f>INDEX($Q$3:$Q$16, MATCH(DASHBOARD!F13,$O$3:$O$16,1))</f>
        <v>9.8000000000000004E-2</v>
      </c>
      <c r="O11" s="144">
        <v>15001</v>
      </c>
      <c r="P11" s="140">
        <v>0.21</v>
      </c>
      <c r="Q11" s="145">
        <v>0.29399999999999998</v>
      </c>
    </row>
    <row r="12" spans="2:17">
      <c r="B12" s="24"/>
      <c r="C12" s="24">
        <v>7265</v>
      </c>
      <c r="F12" s="63" t="s">
        <v>23</v>
      </c>
      <c r="G12" s="51">
        <v>6.64</v>
      </c>
      <c r="H12" s="51">
        <v>9.2799999999999994</v>
      </c>
      <c r="I12" s="51">
        <v>0</v>
      </c>
      <c r="J12" s="53">
        <v>0</v>
      </c>
      <c r="K12" s="64">
        <f>INDEX($P$3:$P$16, MATCH(DASHBOARD!$F$5,$O$3:$O$16,1))</f>
        <v>7.0000000000000007E-2</v>
      </c>
      <c r="L12" s="64">
        <f>INDEX($Q$3:$Q$16, MATCH(DASHBOARD!F14,$O$3:$O$16,1))</f>
        <v>9.8000000000000004E-2</v>
      </c>
      <c r="O12" s="144">
        <v>17501</v>
      </c>
      <c r="P12" s="140">
        <v>0.23</v>
      </c>
      <c r="Q12" s="145">
        <v>0.32200000000000001</v>
      </c>
    </row>
    <row r="13" spans="2:17">
      <c r="B13" s="24"/>
      <c r="C13" s="24">
        <v>7270</v>
      </c>
      <c r="F13" s="63" t="s">
        <v>24</v>
      </c>
      <c r="G13" s="51">
        <v>6.64</v>
      </c>
      <c r="H13" s="51">
        <v>9.2799999999999994</v>
      </c>
      <c r="I13" s="51">
        <v>0</v>
      </c>
      <c r="J13" s="53">
        <v>0</v>
      </c>
      <c r="K13" s="64">
        <f>INDEX($P$3:$P$16, MATCH(DASHBOARD!$F$5,$O$3:$O$16,1))</f>
        <v>7.0000000000000007E-2</v>
      </c>
      <c r="L13" s="64">
        <f>INDEX($Q$3:$Q$16, MATCH(DASHBOARD!F15,$O$3:$O$16,1))</f>
        <v>9.8000000000000004E-2</v>
      </c>
      <c r="O13" s="144">
        <v>20001</v>
      </c>
      <c r="P13" s="140">
        <v>0.24</v>
      </c>
      <c r="Q13" s="145">
        <v>0.33600000000000002</v>
      </c>
    </row>
    <row r="14" spans="2:17">
      <c r="B14" s="24"/>
      <c r="C14" s="24">
        <v>7275</v>
      </c>
      <c r="F14" s="65" t="s">
        <v>25</v>
      </c>
      <c r="G14" s="55">
        <v>6.64</v>
      </c>
      <c r="H14" s="55">
        <v>9.2799999999999994</v>
      </c>
      <c r="I14" s="55">
        <v>0</v>
      </c>
      <c r="J14" s="56">
        <v>0</v>
      </c>
      <c r="K14" s="64">
        <f>INDEX($P$3:$P$16, MATCH(DASHBOARD!$F$5,$O$3:$O$16,1))</f>
        <v>7.0000000000000007E-2</v>
      </c>
      <c r="L14" s="64">
        <f>INDEX($Q$3:$Q$16, MATCH(DASHBOARD!F16,$O$3:$O$16,1))</f>
        <v>9.8000000000000004E-2</v>
      </c>
      <c r="O14" s="144">
        <v>40001</v>
      </c>
      <c r="P14" s="140">
        <v>0.25</v>
      </c>
      <c r="Q14" s="145">
        <v>0.35</v>
      </c>
    </row>
    <row r="15" spans="2:17">
      <c r="B15" s="24"/>
      <c r="C15" s="24">
        <v>7292</v>
      </c>
      <c r="O15" s="144">
        <v>60001</v>
      </c>
      <c r="P15" s="140">
        <v>0.27</v>
      </c>
      <c r="Q15" s="145">
        <v>0.378</v>
      </c>
    </row>
    <row r="16" spans="2:17">
      <c r="B16" s="24"/>
      <c r="C16" s="24">
        <v>7300</v>
      </c>
      <c r="F16" t="s">
        <v>26</v>
      </c>
      <c r="O16" s="146">
        <v>80000</v>
      </c>
      <c r="P16" s="147">
        <v>0.28999999999999998</v>
      </c>
      <c r="Q16" s="148">
        <v>0.40600000000000003</v>
      </c>
    </row>
    <row r="17" spans="2:12">
      <c r="B17" s="24"/>
      <c r="C17" s="24">
        <v>7302</v>
      </c>
    </row>
    <row r="18" spans="2:12" ht="91.5">
      <c r="B18" s="24"/>
      <c r="C18" s="24">
        <v>7304</v>
      </c>
      <c r="E18" s="136" t="s">
        <v>317</v>
      </c>
      <c r="F18" s="61" t="s">
        <v>7</v>
      </c>
      <c r="G18" s="71" t="s">
        <v>224</v>
      </c>
      <c r="H18" s="71" t="s">
        <v>225</v>
      </c>
      <c r="I18" s="71" t="s">
        <v>310</v>
      </c>
      <c r="J18" s="62" t="s">
        <v>311</v>
      </c>
      <c r="K18" s="62" t="s">
        <v>312</v>
      </c>
      <c r="L18" s="62" t="s">
        <v>313</v>
      </c>
    </row>
    <row r="19" spans="2:12">
      <c r="B19" s="24"/>
      <c r="C19" s="24">
        <v>7306</v>
      </c>
      <c r="F19" s="63" t="s">
        <v>13</v>
      </c>
      <c r="G19" s="51">
        <v>6.75</v>
      </c>
      <c r="H19" s="51">
        <v>9.44</v>
      </c>
      <c r="I19" s="51">
        <v>0</v>
      </c>
      <c r="J19" s="53">
        <v>0</v>
      </c>
      <c r="K19" s="64">
        <f>INDEX($P$3:$P$16, MATCH(DASHBOARD!$F$5,$O$3:$O$16,1))</f>
        <v>7.0000000000000007E-2</v>
      </c>
      <c r="L19" s="64">
        <f>INDEX($Q$3:$Q$16, MATCH(DASHBOARD!$F$5,$O$3:$O$16,1))</f>
        <v>9.8000000000000004E-2</v>
      </c>
    </row>
    <row r="20" spans="2:12">
      <c r="B20" s="24"/>
      <c r="C20" s="24">
        <v>7310</v>
      </c>
      <c r="F20" s="63" t="s">
        <v>15</v>
      </c>
      <c r="G20" s="51">
        <v>6.03</v>
      </c>
      <c r="H20" s="51">
        <v>8.43</v>
      </c>
      <c r="I20" s="51">
        <v>0</v>
      </c>
      <c r="J20" s="53">
        <v>0</v>
      </c>
      <c r="K20" s="64">
        <f>INDEX($P$3:$P$16, MATCH(DASHBOARD!$F$5,$O$3:$O$16,1))</f>
        <v>7.0000000000000007E-2</v>
      </c>
      <c r="L20" s="64">
        <f>INDEX($Q$3:$Q$16, MATCH(DASHBOARD!$F$5,$O$3:$O$16,1))</f>
        <v>9.8000000000000004E-2</v>
      </c>
    </row>
    <row r="21" spans="2:12">
      <c r="B21" s="24"/>
      <c r="C21" s="24">
        <v>7315</v>
      </c>
      <c r="F21" s="63" t="s">
        <v>16</v>
      </c>
      <c r="G21" s="51">
        <v>6.03</v>
      </c>
      <c r="H21" s="51">
        <v>8.43</v>
      </c>
      <c r="I21" s="51">
        <v>0</v>
      </c>
      <c r="J21" s="53">
        <v>0</v>
      </c>
      <c r="K21" s="64">
        <f>INDEX($P$3:$P$16, MATCH(DASHBOARD!$F$5,$O$3:$O$16,1))</f>
        <v>7.0000000000000007E-2</v>
      </c>
      <c r="L21" s="64">
        <f>INDEX($Q$3:$Q$16, MATCH(DASHBOARD!$F$5,$O$3:$O$16,1))</f>
        <v>9.8000000000000004E-2</v>
      </c>
    </row>
    <row r="22" spans="2:12">
      <c r="B22" s="24"/>
      <c r="C22" s="24">
        <v>7316</v>
      </c>
      <c r="F22" s="63" t="s">
        <v>17</v>
      </c>
      <c r="G22" s="51">
        <v>6.03</v>
      </c>
      <c r="H22" s="51">
        <v>8.43</v>
      </c>
      <c r="I22" s="51">
        <v>0</v>
      </c>
      <c r="J22" s="53">
        <v>0</v>
      </c>
      <c r="K22" s="64">
        <f>INDEX($P$3:$P$16, MATCH(DASHBOARD!$F$5,$O$3:$O$16,1))</f>
        <v>7.0000000000000007E-2</v>
      </c>
      <c r="L22" s="64">
        <f>INDEX($Q$3:$Q$16, MATCH(DASHBOARD!$F$5,$O$3:$O$16,1))</f>
        <v>9.8000000000000004E-2</v>
      </c>
    </row>
    <row r="23" spans="2:12">
      <c r="B23" s="24"/>
      <c r="C23" s="24">
        <v>7321</v>
      </c>
      <c r="F23" s="63" t="s">
        <v>18</v>
      </c>
      <c r="G23" s="51">
        <v>6.03</v>
      </c>
      <c r="H23" s="51">
        <v>8.43</v>
      </c>
      <c r="I23" s="51">
        <v>0</v>
      </c>
      <c r="J23" s="53">
        <v>0</v>
      </c>
      <c r="K23" s="64">
        <f>INDEX($P$3:$P$16, MATCH(DASHBOARD!$F$5,$O$3:$O$16,1))</f>
        <v>7.0000000000000007E-2</v>
      </c>
      <c r="L23" s="64">
        <f>INDEX($Q$3:$Q$16, MATCH(DASHBOARD!$F$5,$O$3:$O$16,1))</f>
        <v>9.8000000000000004E-2</v>
      </c>
    </row>
    <row r="24" spans="2:12">
      <c r="B24" s="24"/>
      <c r="C24" s="24">
        <v>7325</v>
      </c>
      <c r="F24" s="63" t="s">
        <v>19</v>
      </c>
      <c r="G24" s="51">
        <v>6.45</v>
      </c>
      <c r="H24" s="51">
        <v>9.02</v>
      </c>
      <c r="I24" s="51">
        <v>0</v>
      </c>
      <c r="J24" s="53">
        <v>0</v>
      </c>
      <c r="K24" s="64">
        <f>INDEX($P$3:$P$16, MATCH(DASHBOARD!$F$5,$O$3:$O$16,1))</f>
        <v>7.0000000000000007E-2</v>
      </c>
      <c r="L24" s="64">
        <f>INDEX($Q$3:$Q$16, MATCH(DASHBOARD!$F$5,$O$3:$O$16,1))</f>
        <v>9.8000000000000004E-2</v>
      </c>
    </row>
    <row r="25" spans="2:12">
      <c r="B25" s="24"/>
      <c r="C25" s="24">
        <v>7330</v>
      </c>
      <c r="F25" s="63" t="s">
        <v>20</v>
      </c>
      <c r="G25" s="51">
        <v>6.45</v>
      </c>
      <c r="H25" s="51">
        <v>9.02</v>
      </c>
      <c r="I25" s="51">
        <v>0.13</v>
      </c>
      <c r="J25" s="53">
        <v>0.18</v>
      </c>
      <c r="K25" s="64">
        <f>INDEX($P$3:$P$16, MATCH(DASHBOARD!$F$5,$O$3:$O$16,1))</f>
        <v>7.0000000000000007E-2</v>
      </c>
      <c r="L25" s="64">
        <f>INDEX($Q$3:$Q$16, MATCH(DASHBOARD!$F$5,$O$3:$O$16,1))</f>
        <v>9.8000000000000004E-2</v>
      </c>
    </row>
    <row r="26" spans="2:12">
      <c r="B26" s="24"/>
      <c r="F26" s="63" t="s">
        <v>21</v>
      </c>
      <c r="G26" s="51">
        <v>6.45</v>
      </c>
      <c r="H26" s="51">
        <v>9.02</v>
      </c>
      <c r="I26" s="51">
        <v>0.13</v>
      </c>
      <c r="J26" s="53">
        <v>0.18</v>
      </c>
      <c r="K26" s="64">
        <f>INDEX($P$3:$P$16, MATCH(DASHBOARD!$F$5,$O$3:$O$16,1))</f>
        <v>7.0000000000000007E-2</v>
      </c>
      <c r="L26" s="64">
        <f>INDEX($Q$3:$Q$16, MATCH(DASHBOARD!$F$5,$O$3:$O$16,1))</f>
        <v>9.8000000000000004E-2</v>
      </c>
    </row>
    <row r="27" spans="2:12">
      <c r="B27" s="24"/>
      <c r="F27" s="63" t="s">
        <v>22</v>
      </c>
      <c r="G27" s="51">
        <v>6.75</v>
      </c>
      <c r="H27" s="51">
        <v>9.44</v>
      </c>
      <c r="I27" s="51">
        <v>0.13</v>
      </c>
      <c r="J27" s="53">
        <v>0.18</v>
      </c>
      <c r="K27" s="64">
        <f>INDEX($P$3:$P$16, MATCH(DASHBOARD!$F$5,$O$3:$O$16,1))</f>
        <v>7.0000000000000007E-2</v>
      </c>
      <c r="L27" s="64">
        <f>INDEX($Q$3:$Q$16, MATCH(DASHBOARD!$F$5,$O$3:$O$16,1))</f>
        <v>9.8000000000000004E-2</v>
      </c>
    </row>
    <row r="28" spans="2:12">
      <c r="B28" s="24"/>
      <c r="F28" s="63" t="s">
        <v>23</v>
      </c>
      <c r="G28" s="51">
        <v>6.91</v>
      </c>
      <c r="H28" s="51">
        <v>9.66</v>
      </c>
      <c r="I28" s="51">
        <v>0</v>
      </c>
      <c r="J28" s="53">
        <v>0</v>
      </c>
      <c r="K28" s="64">
        <f>INDEX($P$3:$P$16, MATCH(DASHBOARD!$F$5,$O$3:$O$16,1))</f>
        <v>7.0000000000000007E-2</v>
      </c>
      <c r="L28" s="64">
        <f>INDEX($Q$3:$Q$16, MATCH(DASHBOARD!$F$5,$O$3:$O$16,1))</f>
        <v>9.8000000000000004E-2</v>
      </c>
    </row>
    <row r="29" spans="2:12">
      <c r="B29" s="24"/>
      <c r="F29" s="63" t="s">
        <v>24</v>
      </c>
      <c r="G29" s="51">
        <v>7.01</v>
      </c>
      <c r="H29" s="51">
        <v>9.8000000000000007</v>
      </c>
      <c r="I29" s="51">
        <v>0</v>
      </c>
      <c r="J29" s="53">
        <v>0</v>
      </c>
      <c r="K29" s="64">
        <f>INDEX($P$3:$P$16, MATCH(DASHBOARD!$F$5,$O$3:$O$16,1))</f>
        <v>7.0000000000000007E-2</v>
      </c>
      <c r="L29" s="64">
        <f>INDEX($Q$3:$Q$16, MATCH(DASHBOARD!$F$5,$O$3:$O$16,1))</f>
        <v>9.8000000000000004E-2</v>
      </c>
    </row>
    <row r="30" spans="2:12">
      <c r="B30" s="24"/>
      <c r="F30" s="65" t="s">
        <v>25</v>
      </c>
      <c r="G30" s="55">
        <v>7.17</v>
      </c>
      <c r="H30" s="55">
        <v>10.029999999999999</v>
      </c>
      <c r="I30" s="55">
        <v>0</v>
      </c>
      <c r="J30" s="56">
        <v>0</v>
      </c>
      <c r="K30" s="64">
        <f>INDEX($P$3:$P$16, MATCH(DASHBOARD!$F$5,$O$3:$O$16,1))</f>
        <v>7.0000000000000007E-2</v>
      </c>
      <c r="L30" s="64">
        <f>INDEX($Q$3:$Q$16, MATCH(DASHBOARD!$F$5,$O$3:$O$16,1))</f>
        <v>9.8000000000000004E-2</v>
      </c>
    </row>
    <row r="31" spans="2:12">
      <c r="B31" s="24"/>
    </row>
    <row r="32" spans="2:12">
      <c r="B32" s="24"/>
    </row>
    <row r="33" spans="2:2">
      <c r="B33" s="24"/>
    </row>
    <row r="34" spans="2:2">
      <c r="B34" s="24"/>
    </row>
    <row r="35" spans="2:2">
      <c r="B35" s="24"/>
    </row>
    <row r="36" spans="2:2">
      <c r="B36" s="24"/>
    </row>
    <row r="37" spans="2:2">
      <c r="B37" s="24"/>
    </row>
    <row r="38" spans="2:2">
      <c r="B38" s="24"/>
    </row>
    <row r="39" spans="2:2">
      <c r="B39" s="24"/>
    </row>
    <row r="40" spans="2:2">
      <c r="B40" s="24"/>
    </row>
    <row r="41" spans="2:2">
      <c r="B41" s="24"/>
    </row>
    <row r="42" spans="2:2">
      <c r="B42" s="24"/>
    </row>
    <row r="43" spans="2:2">
      <c r="B43" s="24"/>
    </row>
    <row r="44" spans="2:2">
      <c r="B44" s="24"/>
    </row>
    <row r="45" spans="2:2">
      <c r="B45" s="24"/>
    </row>
    <row r="46" spans="2:2">
      <c r="B46" s="24"/>
    </row>
    <row r="47" spans="2:2">
      <c r="B47" s="24"/>
    </row>
    <row r="48" spans="2:2">
      <c r="B48" s="24"/>
    </row>
    <row r="49" spans="2:2">
      <c r="B49" s="24"/>
    </row>
    <row r="50" spans="2:2">
      <c r="B50" s="24"/>
    </row>
    <row r="51" spans="2:2">
      <c r="B51" s="24"/>
    </row>
    <row r="52" spans="2:2">
      <c r="B52" s="24"/>
    </row>
    <row r="53" spans="2:2">
      <c r="B53" s="24"/>
    </row>
    <row r="54" spans="2:2">
      <c r="B54" s="24"/>
    </row>
    <row r="55" spans="2:2">
      <c r="B55" s="24"/>
    </row>
    <row r="56" spans="2:2">
      <c r="B56" s="24"/>
    </row>
    <row r="57" spans="2:2">
      <c r="B57" s="24"/>
    </row>
    <row r="58" spans="2:2">
      <c r="B58" s="24"/>
    </row>
    <row r="59" spans="2:2">
      <c r="B59" s="24"/>
    </row>
    <row r="60" spans="2:2">
      <c r="B60" s="24"/>
    </row>
    <row r="61" spans="2:2">
      <c r="B61" s="24"/>
    </row>
    <row r="62" spans="2:2">
      <c r="B62" s="24"/>
    </row>
    <row r="63" spans="2:2">
      <c r="B63" s="24"/>
    </row>
    <row r="64" spans="2:2">
      <c r="B64" s="24"/>
    </row>
    <row r="65" spans="2:2">
      <c r="B65" s="24"/>
    </row>
    <row r="66" spans="2:2">
      <c r="B66" s="24"/>
    </row>
    <row r="67" spans="2:2">
      <c r="B67" s="24"/>
    </row>
    <row r="68" spans="2:2">
      <c r="B68" s="24"/>
    </row>
    <row r="69" spans="2:2">
      <c r="B69" s="24"/>
    </row>
    <row r="70" spans="2:2">
      <c r="B70" s="24"/>
    </row>
    <row r="71" spans="2:2">
      <c r="B71" s="24"/>
    </row>
    <row r="72" spans="2:2">
      <c r="B72" s="24"/>
    </row>
    <row r="73" spans="2:2">
      <c r="B73" s="24"/>
    </row>
    <row r="74" spans="2:2">
      <c r="B74" s="24"/>
    </row>
    <row r="75" spans="2:2">
      <c r="B75" s="24"/>
    </row>
    <row r="76" spans="2:2">
      <c r="B76" s="24"/>
    </row>
    <row r="77" spans="2:2">
      <c r="B77" s="24"/>
    </row>
    <row r="78" spans="2:2">
      <c r="B78" s="24"/>
    </row>
    <row r="79" spans="2:2">
      <c r="B79" s="24"/>
    </row>
    <row r="80" spans="2:2">
      <c r="B80" s="24"/>
    </row>
    <row r="81" spans="2:2">
      <c r="B81" s="24"/>
    </row>
    <row r="82" spans="2:2">
      <c r="B82" s="24"/>
    </row>
    <row r="83" spans="2:2">
      <c r="B83" s="24"/>
    </row>
    <row r="84" spans="2:2">
      <c r="B84" s="24"/>
    </row>
    <row r="85" spans="2:2">
      <c r="B85" s="24"/>
    </row>
    <row r="86" spans="2:2">
      <c r="B86" s="24"/>
    </row>
    <row r="87" spans="2:2">
      <c r="B87" s="24"/>
    </row>
    <row r="88" spans="2:2">
      <c r="B88" s="24"/>
    </row>
    <row r="89" spans="2:2">
      <c r="B89" s="24"/>
    </row>
    <row r="90" spans="2:2">
      <c r="B90" s="24"/>
    </row>
    <row r="91" spans="2:2">
      <c r="B91" s="24"/>
    </row>
    <row r="92" spans="2:2">
      <c r="B92" s="24"/>
    </row>
    <row r="93" spans="2:2">
      <c r="B93" s="24"/>
    </row>
    <row r="94" spans="2:2">
      <c r="B94" s="24"/>
    </row>
    <row r="95" spans="2:2">
      <c r="B95" s="24"/>
    </row>
    <row r="96" spans="2:2">
      <c r="B96" s="24"/>
    </row>
    <row r="97" spans="2:2">
      <c r="B97" s="24"/>
    </row>
    <row r="98" spans="2:2">
      <c r="B98" s="24"/>
    </row>
    <row r="99" spans="2:2">
      <c r="B99" s="24"/>
    </row>
    <row r="100" spans="2:2">
      <c r="B100" s="24"/>
    </row>
    <row r="101" spans="2:2">
      <c r="B101" s="24"/>
    </row>
    <row r="102" spans="2:2">
      <c r="B102" s="24"/>
    </row>
    <row r="103" spans="2:2">
      <c r="B103" s="24"/>
    </row>
    <row r="104" spans="2:2">
      <c r="B104" s="24"/>
    </row>
    <row r="105" spans="2:2">
      <c r="B105" s="24"/>
    </row>
    <row r="106" spans="2:2">
      <c r="B106" s="24"/>
    </row>
    <row r="107" spans="2:2">
      <c r="B107" s="24"/>
    </row>
    <row r="108" spans="2:2">
      <c r="B108" s="24"/>
    </row>
    <row r="109" spans="2:2">
      <c r="B109" s="24"/>
    </row>
    <row r="110" spans="2:2">
      <c r="B110" s="24"/>
    </row>
    <row r="111" spans="2:2">
      <c r="B111" s="24"/>
    </row>
    <row r="112" spans="2:2">
      <c r="B112" s="24"/>
    </row>
    <row r="113" spans="2:2">
      <c r="B113" s="24"/>
    </row>
    <row r="114" spans="2:2">
      <c r="B114" s="24"/>
    </row>
    <row r="115" spans="2:2">
      <c r="B115" s="24"/>
    </row>
    <row r="116" spans="2:2">
      <c r="B116" s="24"/>
    </row>
    <row r="117" spans="2:2">
      <c r="B117" s="24"/>
    </row>
    <row r="118" spans="2:2">
      <c r="B118" s="24"/>
    </row>
  </sheetData>
  <sheetProtection algorithmName="SHA-512" hashValue="WyN3wdX2xQqkqfL5oTfe4m2yFGrjlkYSOIBTguxFGEe1jtkBxZ/ICmUFGHmchtjo5lEoMlkIF6ZdOpM4YvIIWw==" saltValue="MKzUDlUvxnHzcTfgFkkUaQ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86C7-E8B4-4009-90B9-5C34555C3C89}">
  <dimension ref="B2:R118"/>
  <sheetViews>
    <sheetView topLeftCell="C6" workbookViewId="0">
      <selection activeCell="I36" sqref="I36"/>
    </sheetView>
  </sheetViews>
  <sheetFormatPr defaultRowHeight="15"/>
  <cols>
    <col min="7" max="7" width="10.85546875" bestFit="1" customWidth="1"/>
    <col min="8" max="8" width="15.140625" customWidth="1"/>
    <col min="9" max="9" width="13.7109375" customWidth="1"/>
    <col min="10" max="10" width="28.85546875" customWidth="1"/>
    <col min="11" max="11" width="22.7109375" customWidth="1"/>
    <col min="15" max="15" width="10.7109375" bestFit="1" customWidth="1"/>
  </cols>
  <sheetData>
    <row r="2" spans="2:18">
      <c r="B2" t="s">
        <v>318</v>
      </c>
      <c r="D2" t="s">
        <v>319</v>
      </c>
      <c r="G2" s="4"/>
    </row>
    <row r="3" spans="2:18">
      <c r="B3" s="24">
        <v>3558</v>
      </c>
      <c r="C3" s="24"/>
      <c r="D3">
        <v>2650</v>
      </c>
    </row>
    <row r="4" spans="2:18">
      <c r="B4" s="24">
        <v>3561</v>
      </c>
      <c r="C4" s="24"/>
      <c r="D4">
        <v>2710</v>
      </c>
    </row>
    <row r="5" spans="2:18">
      <c r="B5" s="24">
        <v>3563</v>
      </c>
      <c r="C5" s="24"/>
      <c r="D5">
        <v>2713</v>
      </c>
    </row>
    <row r="6" spans="2:18" ht="16.5" customHeight="1">
      <c r="B6" s="24">
        <v>3564</v>
      </c>
      <c r="C6" s="24"/>
      <c r="D6">
        <v>2732</v>
      </c>
    </row>
    <row r="7" spans="2:18" ht="33.75" customHeight="1">
      <c r="B7" s="24">
        <v>3566</v>
      </c>
      <c r="C7" s="24"/>
      <c r="D7">
        <v>3644</v>
      </c>
      <c r="F7" s="136" t="s">
        <v>309</v>
      </c>
      <c r="G7" s="61" t="s">
        <v>7</v>
      </c>
      <c r="H7" s="71" t="s">
        <v>224</v>
      </c>
      <c r="I7" s="71" t="s">
        <v>225</v>
      </c>
      <c r="J7" s="71" t="s">
        <v>320</v>
      </c>
      <c r="K7" s="62" t="s">
        <v>321</v>
      </c>
      <c r="L7" s="62" t="s">
        <v>312</v>
      </c>
      <c r="M7" s="62" t="s">
        <v>313</v>
      </c>
      <c r="P7" s="141" t="s">
        <v>314</v>
      </c>
      <c r="Q7" s="142" t="s">
        <v>315</v>
      </c>
      <c r="R7" s="143" t="s">
        <v>316</v>
      </c>
    </row>
    <row r="8" spans="2:18">
      <c r="B8" s="24">
        <v>3567</v>
      </c>
      <c r="C8" s="24"/>
      <c r="G8" s="63" t="s">
        <v>13</v>
      </c>
      <c r="H8" s="51">
        <v>6.64</v>
      </c>
      <c r="I8" s="51">
        <v>9.2799999999999994</v>
      </c>
      <c r="J8" s="51">
        <v>0.51</v>
      </c>
      <c r="K8" s="53">
        <v>0.71</v>
      </c>
      <c r="L8" s="64">
        <f>INDEX($Q$8:$Q$21, MATCH(DASHBOARD!$F5,$P$8:$P$21,1))</f>
        <v>7.0000000000000007E-2</v>
      </c>
      <c r="M8" s="64">
        <f>INDEX($R$8:$R$21, MATCH(DASHBOARD!$F5,$P$8:$P$21,1))</f>
        <v>9.8000000000000004E-2</v>
      </c>
      <c r="P8" s="144">
        <v>0</v>
      </c>
      <c r="Q8" s="140">
        <v>0</v>
      </c>
      <c r="R8" s="145">
        <v>0</v>
      </c>
    </row>
    <row r="9" spans="2:18">
      <c r="B9" s="24">
        <v>3568</v>
      </c>
      <c r="C9" s="24"/>
      <c r="G9" s="63" t="s">
        <v>15</v>
      </c>
      <c r="H9" s="51">
        <v>6.64</v>
      </c>
      <c r="I9" s="51">
        <v>9.2799999999999994</v>
      </c>
      <c r="J9" s="51">
        <v>0.51</v>
      </c>
      <c r="K9" s="53">
        <v>0.71</v>
      </c>
      <c r="L9" s="64">
        <f>INDEX($Q$8:$Q$21, MATCH(DASHBOARD!$F6,$P$8:$P$21,1))</f>
        <v>7.0000000000000007E-2</v>
      </c>
      <c r="M9" s="64">
        <f>INDEX($R$8:$R$21, MATCH(DASHBOARD!$F6,$P$8:$P$21,1))</f>
        <v>9.8000000000000004E-2</v>
      </c>
      <c r="P9" s="144">
        <v>1651</v>
      </c>
      <c r="Q9" s="140">
        <v>0.01</v>
      </c>
      <c r="R9" s="145">
        <v>1.4E-2</v>
      </c>
    </row>
    <row r="10" spans="2:18">
      <c r="B10" s="24">
        <v>3571</v>
      </c>
      <c r="C10" s="24"/>
      <c r="G10" s="63" t="s">
        <v>16</v>
      </c>
      <c r="H10" s="51">
        <v>6.03</v>
      </c>
      <c r="I10" s="51">
        <v>8.43</v>
      </c>
      <c r="J10" s="51">
        <v>0.51</v>
      </c>
      <c r="K10" s="53">
        <v>0.71</v>
      </c>
      <c r="L10" s="64">
        <f>INDEX($Q$8:$Q$21, MATCH(DASHBOARD!$F7,$P$8:$P$21,1))</f>
        <v>7.0000000000000007E-2</v>
      </c>
      <c r="M10" s="64">
        <f>INDEX($R$8:$R$21, MATCH(DASHBOARD!$F7,$P$8:$P$21,1))</f>
        <v>9.8000000000000004E-2</v>
      </c>
      <c r="P10" s="144">
        <v>2701</v>
      </c>
      <c r="Q10" s="140">
        <v>0.02</v>
      </c>
      <c r="R10" s="145">
        <v>2.8000000000000001E-2</v>
      </c>
    </row>
    <row r="11" spans="2:18">
      <c r="B11" s="24">
        <v>3573</v>
      </c>
      <c r="C11" s="24"/>
      <c r="G11" s="63" t="s">
        <v>17</v>
      </c>
      <c r="H11" s="51">
        <v>6.03</v>
      </c>
      <c r="I11" s="51">
        <v>8.43</v>
      </c>
      <c r="J11" s="51">
        <v>0.51</v>
      </c>
      <c r="K11" s="53">
        <v>0.71</v>
      </c>
      <c r="L11" s="64">
        <f>INDEX($Q$8:$Q$21, MATCH(DASHBOARD!$F8,$P$8:$P$21,1))</f>
        <v>7.0000000000000007E-2</v>
      </c>
      <c r="M11" s="64">
        <f>INDEX($R$8:$R$21, MATCH(DASHBOARD!$F8,$P$8:$P$21,1))</f>
        <v>9.8000000000000004E-2</v>
      </c>
      <c r="P11" s="144">
        <v>3751</v>
      </c>
      <c r="Q11" s="140">
        <v>0.05</v>
      </c>
      <c r="R11" s="145">
        <v>7.0000000000000007E-2</v>
      </c>
    </row>
    <row r="12" spans="2:18">
      <c r="B12" s="24">
        <v>3575</v>
      </c>
      <c r="C12" s="24"/>
      <c r="G12" s="63" t="s">
        <v>18</v>
      </c>
      <c r="H12" s="51">
        <v>6.03</v>
      </c>
      <c r="I12" s="51">
        <v>8.43</v>
      </c>
      <c r="J12" s="51">
        <v>0.51</v>
      </c>
      <c r="K12" s="53">
        <v>0.71</v>
      </c>
      <c r="L12" s="64">
        <f>INDEX($Q$8:$Q$21, MATCH(DASHBOARD!$F9,$P$8:$P$21,1))</f>
        <v>7.0000000000000007E-2</v>
      </c>
      <c r="M12" s="64">
        <f>INDEX($R$8:$R$21, MATCH(DASHBOARD!$F9,$P$8:$P$21,1))</f>
        <v>9.8000000000000004E-2</v>
      </c>
      <c r="P12" s="144">
        <v>5801</v>
      </c>
      <c r="Q12" s="140">
        <v>7.0000000000000007E-2</v>
      </c>
      <c r="R12" s="145">
        <v>9.8000000000000004E-2</v>
      </c>
    </row>
    <row r="13" spans="2:18">
      <c r="B13" s="24">
        <v>3579</v>
      </c>
      <c r="C13" s="24"/>
      <c r="G13" s="63" t="s">
        <v>19</v>
      </c>
      <c r="H13" s="51">
        <v>6.03</v>
      </c>
      <c r="I13" s="51">
        <v>8.43</v>
      </c>
      <c r="J13" s="51">
        <v>0.51</v>
      </c>
      <c r="K13" s="53">
        <v>0.71</v>
      </c>
      <c r="L13" s="64">
        <f>INDEX($Q$8:$Q$21, MATCH(DASHBOARD!$F10,$P$8:$P$21,1))</f>
        <v>7.0000000000000007E-2</v>
      </c>
      <c r="M13" s="64">
        <f>INDEX($R$8:$R$21, MATCH(DASHBOARD!$F10,$P$8:$P$21,1))</f>
        <v>9.8000000000000004E-2</v>
      </c>
      <c r="P13" s="144">
        <v>7901</v>
      </c>
      <c r="Q13" s="140">
        <v>0.12</v>
      </c>
      <c r="R13" s="145">
        <v>0.16800000000000001</v>
      </c>
    </row>
    <row r="14" spans="2:18">
      <c r="B14" s="24">
        <v>3586</v>
      </c>
      <c r="C14" s="24"/>
      <c r="G14" s="63" t="s">
        <v>20</v>
      </c>
      <c r="H14" s="51">
        <v>6.64</v>
      </c>
      <c r="I14" s="51">
        <v>9.2799999999999994</v>
      </c>
      <c r="J14" s="51">
        <v>0.51</v>
      </c>
      <c r="K14" s="53">
        <v>0.71</v>
      </c>
      <c r="L14" s="64">
        <f>INDEX($Q$8:$Q$21, MATCH(DASHBOARD!$F11,$P$8:$P$21,1))</f>
        <v>7.0000000000000007E-2</v>
      </c>
      <c r="M14" s="64">
        <f>INDEX($R$8:$R$21, MATCH(DASHBOARD!$F11,$P$8:$P$21,1))</f>
        <v>9.8000000000000004E-2</v>
      </c>
      <c r="P14" s="144">
        <v>10001</v>
      </c>
      <c r="Q14" s="140">
        <v>0.16</v>
      </c>
      <c r="R14" s="145">
        <v>0.224</v>
      </c>
    </row>
    <row r="15" spans="2:18">
      <c r="B15" s="24">
        <v>3590</v>
      </c>
      <c r="C15" s="24"/>
      <c r="G15" s="63" t="s">
        <v>21</v>
      </c>
      <c r="H15" s="51">
        <v>6.64</v>
      </c>
      <c r="I15" s="51">
        <v>9.2799999999999994</v>
      </c>
      <c r="J15" s="51">
        <v>0.51</v>
      </c>
      <c r="K15" s="53">
        <v>0.71</v>
      </c>
      <c r="L15" s="64">
        <f>INDEX($Q$8:$Q$21, MATCH(DASHBOARD!$F12,$P$8:$P$21,1))</f>
        <v>7.0000000000000007E-2</v>
      </c>
      <c r="M15" s="64">
        <f>INDEX($R$8:$R$21, MATCH(DASHBOARD!$F12,$P$8:$P$21,1))</f>
        <v>9.8000000000000004E-2</v>
      </c>
      <c r="P15" s="144">
        <v>12501</v>
      </c>
      <c r="Q15" s="140">
        <v>0.18</v>
      </c>
      <c r="R15" s="145">
        <v>0.252</v>
      </c>
    </row>
    <row r="16" spans="2:18">
      <c r="B16" s="24">
        <v>3612</v>
      </c>
      <c r="C16" s="24"/>
      <c r="G16" s="63" t="s">
        <v>22</v>
      </c>
      <c r="H16" s="51">
        <v>6.64</v>
      </c>
      <c r="I16" s="51">
        <v>9.2799999999999994</v>
      </c>
      <c r="J16" s="51">
        <v>0.51</v>
      </c>
      <c r="K16" s="53">
        <v>0.71</v>
      </c>
      <c r="L16" s="64">
        <f>INDEX($Q$8:$Q$21, MATCH(DASHBOARD!$F13,$P$8:$P$21,1))</f>
        <v>7.0000000000000007E-2</v>
      </c>
      <c r="M16" s="64">
        <f>INDEX($R$8:$R$21, MATCH(DASHBOARD!$F13,$P$8:$P$21,1))</f>
        <v>9.8000000000000004E-2</v>
      </c>
      <c r="P16" s="144">
        <v>15001</v>
      </c>
      <c r="Q16" s="140">
        <v>0.21</v>
      </c>
      <c r="R16" s="145">
        <v>0.29399999999999998</v>
      </c>
    </row>
    <row r="17" spans="2:18">
      <c r="B17" s="24">
        <v>3616</v>
      </c>
      <c r="C17" s="24"/>
      <c r="G17" s="63" t="s">
        <v>23</v>
      </c>
      <c r="H17" s="51">
        <v>6.64</v>
      </c>
      <c r="I17" s="51">
        <v>9.2799999999999994</v>
      </c>
      <c r="J17" s="51">
        <v>0.51</v>
      </c>
      <c r="K17" s="53">
        <v>0.71</v>
      </c>
      <c r="L17" s="64">
        <f>INDEX($Q$8:$Q$21, MATCH(DASHBOARD!$F14,$P$8:$P$21,1))</f>
        <v>7.0000000000000007E-2</v>
      </c>
      <c r="M17" s="64">
        <f>INDEX($R$8:$R$21, MATCH(DASHBOARD!$F14,$P$8:$P$21,1))</f>
        <v>9.8000000000000004E-2</v>
      </c>
      <c r="P17" s="144">
        <v>17501</v>
      </c>
      <c r="Q17" s="140">
        <v>0.23</v>
      </c>
      <c r="R17" s="145">
        <v>0.32200000000000001</v>
      </c>
    </row>
    <row r="18" spans="2:18">
      <c r="B18" s="24">
        <v>3618</v>
      </c>
      <c r="C18" s="24"/>
      <c r="G18" s="63" t="s">
        <v>24</v>
      </c>
      <c r="H18" s="51">
        <v>6.64</v>
      </c>
      <c r="I18" s="51">
        <v>9.2799999999999994</v>
      </c>
      <c r="J18" s="51">
        <v>0.51</v>
      </c>
      <c r="K18" s="53">
        <v>0.71</v>
      </c>
      <c r="L18" s="64">
        <f>INDEX($Q$8:$Q$21, MATCH(DASHBOARD!$F15,$P$8:$P$21,1))</f>
        <v>7.0000000000000007E-2</v>
      </c>
      <c r="M18" s="64">
        <f>INDEX($R$8:$R$21, MATCH(DASHBOARD!$F15,$P$8:$P$21,1))</f>
        <v>9.8000000000000004E-2</v>
      </c>
      <c r="P18" s="144">
        <v>20001</v>
      </c>
      <c r="Q18" s="140">
        <v>0.24</v>
      </c>
      <c r="R18" s="145">
        <v>0.33600000000000002</v>
      </c>
    </row>
    <row r="19" spans="2:18">
      <c r="B19" s="24">
        <v>3620</v>
      </c>
      <c r="C19" s="24"/>
      <c r="G19" s="65" t="s">
        <v>25</v>
      </c>
      <c r="H19" s="55">
        <v>6.64</v>
      </c>
      <c r="I19" s="55">
        <v>9.2799999999999994</v>
      </c>
      <c r="J19" s="55">
        <v>0.51</v>
      </c>
      <c r="K19" s="56">
        <v>0.71</v>
      </c>
      <c r="L19" s="64">
        <f>INDEX($Q$8:$Q$21, MATCH(DASHBOARD!$F16,$P$8:$P$21,1))</f>
        <v>7.0000000000000007E-2</v>
      </c>
      <c r="M19" s="64">
        <f>INDEX($R$8:$R$21, MATCH(DASHBOARD!$F16,$P$8:$P$21,1))</f>
        <v>9.8000000000000004E-2</v>
      </c>
      <c r="P19" s="144">
        <v>40001</v>
      </c>
      <c r="Q19" s="140">
        <v>0.25</v>
      </c>
      <c r="R19" s="145">
        <v>0.35</v>
      </c>
    </row>
    <row r="20" spans="2:18">
      <c r="B20" s="24">
        <v>3621</v>
      </c>
      <c r="C20" s="24"/>
      <c r="P20" s="144">
        <v>60001</v>
      </c>
      <c r="Q20" s="140">
        <v>0.27</v>
      </c>
      <c r="R20" s="145">
        <v>0.378</v>
      </c>
    </row>
    <row r="21" spans="2:18">
      <c r="B21" s="24">
        <v>3622</v>
      </c>
      <c r="C21" s="24"/>
      <c r="G21" t="s">
        <v>26</v>
      </c>
      <c r="P21" s="146">
        <v>80000</v>
      </c>
      <c r="Q21" s="147">
        <v>0.28999999999999998</v>
      </c>
      <c r="R21" s="148">
        <v>0.40600000000000003</v>
      </c>
    </row>
    <row r="22" spans="2:18">
      <c r="B22" s="24">
        <v>3623</v>
      </c>
      <c r="C22" s="24"/>
    </row>
    <row r="23" spans="2:18" ht="91.5">
      <c r="B23" s="24">
        <v>3624</v>
      </c>
      <c r="C23" s="24"/>
      <c r="F23" s="136" t="s">
        <v>317</v>
      </c>
      <c r="G23" s="61" t="s">
        <v>7</v>
      </c>
      <c r="H23" s="71" t="s">
        <v>224</v>
      </c>
      <c r="I23" s="71" t="s">
        <v>225</v>
      </c>
      <c r="J23" s="71" t="s">
        <v>320</v>
      </c>
      <c r="K23" s="62" t="s">
        <v>321</v>
      </c>
      <c r="L23" s="62" t="s">
        <v>312</v>
      </c>
      <c r="M23" s="62" t="s">
        <v>313</v>
      </c>
    </row>
    <row r="24" spans="2:18">
      <c r="B24" s="24">
        <v>3629</v>
      </c>
      <c r="C24" s="24"/>
      <c r="G24" s="63" t="s">
        <v>13</v>
      </c>
      <c r="H24" s="51">
        <v>6.75</v>
      </c>
      <c r="I24" s="51">
        <v>9.44</v>
      </c>
      <c r="J24" s="51">
        <v>0.51</v>
      </c>
      <c r="K24" s="53">
        <v>0.71</v>
      </c>
      <c r="L24" s="64">
        <f>INDEX($Q$8:$Q$21, MATCH(DASHBOARD!$F$5,$P$8:$P$21,1))</f>
        <v>7.0000000000000007E-2</v>
      </c>
      <c r="M24" s="64">
        <f>INDEX($R$8:$R$21, MATCH(DASHBOARD!$F$5,$P$8:$P$21,1))</f>
        <v>9.8000000000000004E-2</v>
      </c>
    </row>
    <row r="25" spans="2:18">
      <c r="B25" s="24">
        <v>3633</v>
      </c>
      <c r="C25" s="24"/>
      <c r="G25" s="63" t="s">
        <v>15</v>
      </c>
      <c r="H25" s="51">
        <v>6.45</v>
      </c>
      <c r="I25" s="51">
        <v>9.02</v>
      </c>
      <c r="J25" s="51">
        <v>0.51</v>
      </c>
      <c r="K25" s="53">
        <v>0.71</v>
      </c>
      <c r="L25" s="64">
        <f>INDEX($Q$8:$Q$21, MATCH(DASHBOARD!$F$5,$P$8:$P$21,1))</f>
        <v>7.0000000000000007E-2</v>
      </c>
      <c r="M25" s="64">
        <f>INDEX($R$8:$R$21, MATCH(DASHBOARD!$F$5,$P$8:$P$21,1))</f>
        <v>9.8000000000000004E-2</v>
      </c>
    </row>
    <row r="26" spans="2:18">
      <c r="B26" s="24">
        <v>3634</v>
      </c>
      <c r="G26" s="63" t="s">
        <v>16</v>
      </c>
      <c r="H26" s="51">
        <v>6.03</v>
      </c>
      <c r="I26" s="51">
        <v>8.43</v>
      </c>
      <c r="J26" s="51">
        <v>0.51</v>
      </c>
      <c r="K26" s="53">
        <v>0.71</v>
      </c>
      <c r="L26" s="64">
        <f>INDEX($Q$8:$Q$21, MATCH(DASHBOARD!$F$5,$P$8:$P$21,1))</f>
        <v>7.0000000000000007E-2</v>
      </c>
      <c r="M26" s="64">
        <f>INDEX($R$8:$R$21, MATCH(DASHBOARD!$F$5,$P$8:$P$21,1))</f>
        <v>9.8000000000000004E-2</v>
      </c>
    </row>
    <row r="27" spans="2:18">
      <c r="B27" s="24">
        <v>3636</v>
      </c>
      <c r="G27" s="63" t="s">
        <v>17</v>
      </c>
      <c r="H27" s="51">
        <v>6.03</v>
      </c>
      <c r="I27" s="51">
        <v>8.43</v>
      </c>
      <c r="J27" s="51">
        <v>0.51</v>
      </c>
      <c r="K27" s="53">
        <v>0.71</v>
      </c>
      <c r="L27" s="64">
        <f>INDEX($Q$8:$Q$21, MATCH(DASHBOARD!$F$5,$P$8:$P$21,1))</f>
        <v>7.0000000000000007E-2</v>
      </c>
      <c r="M27" s="64">
        <f>INDEX($R$8:$R$21, MATCH(DASHBOARD!$F$5,$P$8:$P$21,1))</f>
        <v>9.8000000000000004E-2</v>
      </c>
    </row>
    <row r="28" spans="2:18">
      <c r="B28" s="24">
        <v>3637</v>
      </c>
      <c r="G28" s="63" t="s">
        <v>18</v>
      </c>
      <c r="H28" s="51">
        <v>6.03</v>
      </c>
      <c r="I28" s="51">
        <v>8.43</v>
      </c>
      <c r="J28" s="51">
        <v>0.51</v>
      </c>
      <c r="K28" s="53">
        <v>0.71</v>
      </c>
      <c r="L28" s="64">
        <f>INDEX($Q$8:$Q$21, MATCH(DASHBOARD!$F$5,$P$8:$P$21,1))</f>
        <v>7.0000000000000007E-2</v>
      </c>
      <c r="M28" s="64">
        <f>INDEX($R$8:$R$21, MATCH(DASHBOARD!$F$5,$P$8:$P$21,1))</f>
        <v>9.8000000000000004E-2</v>
      </c>
    </row>
    <row r="29" spans="2:18">
      <c r="B29" s="24">
        <v>3638</v>
      </c>
      <c r="G29" s="63" t="s">
        <v>19</v>
      </c>
      <c r="H29" s="51">
        <v>6.03</v>
      </c>
      <c r="I29" s="51">
        <v>8.43</v>
      </c>
      <c r="J29" s="51">
        <v>0.51</v>
      </c>
      <c r="K29" s="53">
        <v>0.71</v>
      </c>
      <c r="L29" s="64">
        <f>INDEX($Q$8:$Q$21, MATCH(DASHBOARD!$F$5,$P$8:$P$21,1))</f>
        <v>7.0000000000000007E-2</v>
      </c>
      <c r="M29" s="64">
        <f>INDEX($R$8:$R$21, MATCH(DASHBOARD!$F$5,$P$8:$P$21,1))</f>
        <v>9.8000000000000004E-2</v>
      </c>
    </row>
    <row r="30" spans="2:18">
      <c r="B30" s="24">
        <v>3641</v>
      </c>
      <c r="G30" s="63" t="s">
        <v>20</v>
      </c>
      <c r="H30" s="51">
        <v>6.03</v>
      </c>
      <c r="I30" s="51">
        <v>8.43</v>
      </c>
      <c r="J30" s="51">
        <v>0.51</v>
      </c>
      <c r="K30" s="53">
        <v>0.71</v>
      </c>
      <c r="L30" s="64">
        <f>INDEX($Q$8:$Q$21, MATCH(DASHBOARD!$F$5,$P$8:$P$21,1))</f>
        <v>7.0000000000000007E-2</v>
      </c>
      <c r="M30" s="64">
        <f>INDEX($R$8:$R$21, MATCH(DASHBOARD!$F$5,$P$8:$P$21,1))</f>
        <v>9.8000000000000004E-2</v>
      </c>
    </row>
    <row r="31" spans="2:18">
      <c r="B31" s="24">
        <v>3646</v>
      </c>
      <c r="G31" s="63" t="s">
        <v>21</v>
      </c>
      <c r="H31" s="51">
        <v>6.45</v>
      </c>
      <c r="I31" s="51">
        <v>9.02</v>
      </c>
      <c r="J31" s="51">
        <v>0.51</v>
      </c>
      <c r="K31" s="53">
        <v>0.71</v>
      </c>
      <c r="L31" s="64">
        <f>INDEX($Q$8:$Q$21, MATCH(DASHBOARD!$F$5,$P$8:$P$21,1))</f>
        <v>7.0000000000000007E-2</v>
      </c>
      <c r="M31" s="64">
        <f>INDEX($R$8:$R$21, MATCH(DASHBOARD!$F$5,$P$8:$P$21,1))</f>
        <v>9.8000000000000004E-2</v>
      </c>
    </row>
    <row r="32" spans="2:18">
      <c r="B32" s="24">
        <v>3649</v>
      </c>
      <c r="G32" s="63" t="s">
        <v>22</v>
      </c>
      <c r="H32" s="51">
        <v>6.75</v>
      </c>
      <c r="I32" s="51">
        <v>9.44</v>
      </c>
      <c r="J32" s="51">
        <v>0.51</v>
      </c>
      <c r="K32" s="53">
        <v>0.71</v>
      </c>
      <c r="L32" s="64">
        <f>INDEX($Q$8:$Q$21, MATCH(DASHBOARD!$F$5,$P$8:$P$21,1))</f>
        <v>7.0000000000000007E-2</v>
      </c>
      <c r="M32" s="64">
        <f>INDEX($R$8:$R$21, MATCH(DASHBOARD!$F$5,$P$8:$P$21,1))</f>
        <v>9.8000000000000004E-2</v>
      </c>
    </row>
    <row r="33" spans="2:13">
      <c r="B33" s="24">
        <v>3673</v>
      </c>
      <c r="G33" s="63" t="s">
        <v>23</v>
      </c>
      <c r="H33" s="51">
        <v>6.91</v>
      </c>
      <c r="I33" s="51">
        <v>9.66</v>
      </c>
      <c r="J33" s="51">
        <v>0.51</v>
      </c>
      <c r="K33" s="53">
        <v>0.71</v>
      </c>
      <c r="L33" s="64">
        <f>INDEX($Q$8:$Q$21, MATCH(DASHBOARD!$F$5,$P$8:$P$21,1))</f>
        <v>7.0000000000000007E-2</v>
      </c>
      <c r="M33" s="64">
        <f>INDEX($R$8:$R$21, MATCH(DASHBOARD!$F$5,$P$8:$P$21,1))</f>
        <v>9.8000000000000004E-2</v>
      </c>
    </row>
    <row r="34" spans="2:13">
      <c r="B34" s="24">
        <v>3735</v>
      </c>
      <c r="G34" s="63" t="s">
        <v>24</v>
      </c>
      <c r="H34" s="51">
        <v>7.01</v>
      </c>
      <c r="I34" s="51">
        <v>9.8000000000000007</v>
      </c>
      <c r="J34" s="51">
        <v>0.51</v>
      </c>
      <c r="K34" s="53">
        <v>0.71</v>
      </c>
      <c r="L34" s="64">
        <f>INDEX($Q$8:$Q$21, MATCH(DASHBOARD!$F$5,$P$8:$P$21,1))</f>
        <v>7.0000000000000007E-2</v>
      </c>
      <c r="M34" s="64">
        <f>INDEX($R$8:$R$21, MATCH(DASHBOARD!$F$5,$P$8:$P$21,1))</f>
        <v>9.8000000000000004E-2</v>
      </c>
    </row>
    <row r="35" spans="2:13">
      <c r="B35" s="24"/>
      <c r="G35" s="65" t="s">
        <v>25</v>
      </c>
      <c r="H35" s="55">
        <v>7.17</v>
      </c>
      <c r="I35" s="55">
        <v>10.029999999999999</v>
      </c>
      <c r="J35" s="55">
        <v>0.51</v>
      </c>
      <c r="K35" s="56">
        <v>0.71</v>
      </c>
      <c r="L35" s="64">
        <f>INDEX($Q$8:$Q$21, MATCH(DASHBOARD!$F$5,$P$8:$P$21,1))</f>
        <v>7.0000000000000007E-2</v>
      </c>
      <c r="M35" s="64">
        <f>INDEX($R$8:$R$21, MATCH(DASHBOARD!$F$5,$P$8:$P$21,1))</f>
        <v>9.8000000000000004E-2</v>
      </c>
    </row>
    <row r="36" spans="2:13">
      <c r="B36" s="24"/>
    </row>
    <row r="37" spans="2:13">
      <c r="B37" s="24"/>
    </row>
    <row r="38" spans="2:13">
      <c r="B38" s="24"/>
    </row>
    <row r="39" spans="2:13">
      <c r="B39" s="24"/>
    </row>
    <row r="40" spans="2:13">
      <c r="B40" s="24"/>
    </row>
    <row r="41" spans="2:13">
      <c r="B41" s="24"/>
    </row>
    <row r="42" spans="2:13">
      <c r="B42" s="24"/>
    </row>
    <row r="43" spans="2:13">
      <c r="B43" s="24"/>
    </row>
    <row r="44" spans="2:13">
      <c r="B44" s="24"/>
    </row>
    <row r="45" spans="2:13">
      <c r="B45" s="24"/>
    </row>
    <row r="46" spans="2:13">
      <c r="B46" s="24"/>
    </row>
    <row r="47" spans="2:13">
      <c r="B47" s="24"/>
    </row>
    <row r="48" spans="2:13">
      <c r="B48" s="24"/>
    </row>
    <row r="49" spans="2:2">
      <c r="B49" s="24"/>
    </row>
    <row r="50" spans="2:2">
      <c r="B50" s="24"/>
    </row>
    <row r="51" spans="2:2">
      <c r="B51" s="24"/>
    </row>
    <row r="52" spans="2:2">
      <c r="B52" s="24"/>
    </row>
    <row r="53" spans="2:2">
      <c r="B53" s="24"/>
    </row>
    <row r="54" spans="2:2">
      <c r="B54" s="24"/>
    </row>
    <row r="55" spans="2:2">
      <c r="B55" s="24"/>
    </row>
    <row r="56" spans="2:2">
      <c r="B56" s="24"/>
    </row>
    <row r="57" spans="2:2">
      <c r="B57" s="24"/>
    </row>
    <row r="58" spans="2:2">
      <c r="B58" s="24"/>
    </row>
    <row r="59" spans="2:2">
      <c r="B59" s="24"/>
    </row>
    <row r="60" spans="2:2">
      <c r="B60" s="24"/>
    </row>
    <row r="61" spans="2:2">
      <c r="B61" s="24"/>
    </row>
    <row r="62" spans="2:2">
      <c r="B62" s="24"/>
    </row>
    <row r="63" spans="2:2">
      <c r="B63" s="24"/>
    </row>
    <row r="64" spans="2:2">
      <c r="B64" s="24"/>
    </row>
    <row r="65" spans="2:2">
      <c r="B65" s="24"/>
    </row>
    <row r="66" spans="2:2">
      <c r="B66" s="24"/>
    </row>
    <row r="67" spans="2:2">
      <c r="B67" s="24"/>
    </row>
    <row r="68" spans="2:2">
      <c r="B68" s="24"/>
    </row>
    <row r="69" spans="2:2">
      <c r="B69" s="24"/>
    </row>
    <row r="70" spans="2:2">
      <c r="B70" s="24"/>
    </row>
    <row r="71" spans="2:2">
      <c r="B71" s="24"/>
    </row>
    <row r="72" spans="2:2">
      <c r="B72" s="24"/>
    </row>
    <row r="73" spans="2:2">
      <c r="B73" s="24"/>
    </row>
    <row r="74" spans="2:2">
      <c r="B74" s="24"/>
    </row>
    <row r="75" spans="2:2">
      <c r="B75" s="24"/>
    </row>
    <row r="76" spans="2:2">
      <c r="B76" s="24"/>
    </row>
    <row r="77" spans="2:2">
      <c r="B77" s="24"/>
    </row>
    <row r="78" spans="2:2">
      <c r="B78" s="24"/>
    </row>
    <row r="79" spans="2:2">
      <c r="B79" s="24"/>
    </row>
    <row r="80" spans="2:2">
      <c r="B80" s="24"/>
    </row>
    <row r="81" spans="2:2">
      <c r="B81" s="24"/>
    </row>
    <row r="82" spans="2:2">
      <c r="B82" s="24"/>
    </row>
    <row r="83" spans="2:2">
      <c r="B83" s="24"/>
    </row>
    <row r="84" spans="2:2">
      <c r="B84" s="24"/>
    </row>
    <row r="85" spans="2:2">
      <c r="B85" s="24"/>
    </row>
    <row r="86" spans="2:2">
      <c r="B86" s="24"/>
    </row>
    <row r="87" spans="2:2">
      <c r="B87" s="24"/>
    </row>
    <row r="88" spans="2:2">
      <c r="B88" s="24"/>
    </row>
    <row r="89" spans="2:2">
      <c r="B89" s="24"/>
    </row>
    <row r="90" spans="2:2">
      <c r="B90" s="24"/>
    </row>
    <row r="91" spans="2:2">
      <c r="B91" s="24"/>
    </row>
    <row r="92" spans="2:2">
      <c r="B92" s="24"/>
    </row>
    <row r="93" spans="2:2">
      <c r="B93" s="24"/>
    </row>
    <row r="94" spans="2:2">
      <c r="B94" s="24"/>
    </row>
    <row r="95" spans="2:2">
      <c r="B95" s="24"/>
    </row>
    <row r="96" spans="2:2">
      <c r="B96" s="24"/>
    </row>
    <row r="97" spans="2:2">
      <c r="B97" s="24"/>
    </row>
    <row r="98" spans="2:2">
      <c r="B98" s="24"/>
    </row>
    <row r="99" spans="2:2">
      <c r="B99" s="24"/>
    </row>
    <row r="100" spans="2:2">
      <c r="B100" s="24"/>
    </row>
    <row r="101" spans="2:2">
      <c r="B101" s="24"/>
    </row>
    <row r="102" spans="2:2">
      <c r="B102" s="24"/>
    </row>
    <row r="103" spans="2:2">
      <c r="B103" s="24"/>
    </row>
    <row r="104" spans="2:2">
      <c r="B104" s="24"/>
    </row>
    <row r="105" spans="2:2">
      <c r="B105" s="24"/>
    </row>
    <row r="106" spans="2:2">
      <c r="B106" s="24"/>
    </row>
    <row r="107" spans="2:2">
      <c r="B107" s="24"/>
    </row>
    <row r="108" spans="2:2">
      <c r="B108" s="24"/>
    </row>
    <row r="109" spans="2:2">
      <c r="B109" s="24"/>
    </row>
    <row r="110" spans="2:2">
      <c r="B110" s="24"/>
    </row>
    <row r="111" spans="2:2">
      <c r="B111" s="24"/>
    </row>
    <row r="112" spans="2:2">
      <c r="B112" s="24"/>
    </row>
    <row r="113" spans="2:2">
      <c r="B113" s="24"/>
    </row>
    <row r="114" spans="2:2">
      <c r="B114" s="24"/>
    </row>
    <row r="115" spans="2:2">
      <c r="B115" s="24"/>
    </row>
    <row r="116" spans="2:2">
      <c r="B116" s="24"/>
    </row>
    <row r="117" spans="2:2">
      <c r="B117" s="24"/>
    </row>
    <row r="118" spans="2:2">
      <c r="B118" s="24"/>
    </row>
  </sheetData>
  <sheetProtection algorithmName="SHA-512" hashValue="tPVvXzhZsa/igfG3SpR/JiIhouFVnQzm7PzGFg4BvsJxwLl+MAwi864F7TY7vXfQfyAQmKFFPvQ1luD9yo6u2Q==" saltValue="R6BuSgvqA4uiYheWWOQ3uQ==" spinCount="100000" sheet="1" objects="1" scenarios="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5D9C7-C31A-411F-8DAB-58C9EC908B53}">
  <dimension ref="B2:R86"/>
  <sheetViews>
    <sheetView workbookViewId="0">
      <selection activeCell="Q9" sqref="Q9"/>
    </sheetView>
  </sheetViews>
  <sheetFormatPr defaultRowHeight="15"/>
  <cols>
    <col min="7" max="7" width="10.85546875" bestFit="1" customWidth="1"/>
    <col min="8" max="8" width="11.140625" customWidth="1"/>
    <col min="9" max="9" width="12.85546875" customWidth="1"/>
    <col min="10" max="10" width="22.85546875" customWidth="1"/>
    <col min="11" max="11" width="26.5703125" customWidth="1"/>
    <col min="12" max="12" width="19" customWidth="1"/>
    <col min="15" max="15" width="10.7109375" bestFit="1" customWidth="1"/>
    <col min="16" max="16" width="21.140625" bestFit="1" customWidth="1"/>
    <col min="17" max="17" width="17" bestFit="1" customWidth="1"/>
    <col min="18" max="18" width="20.85546875" bestFit="1" customWidth="1"/>
  </cols>
  <sheetData>
    <row r="2" spans="2:18">
      <c r="B2" t="s">
        <v>318</v>
      </c>
      <c r="E2" t="s">
        <v>322</v>
      </c>
      <c r="G2" s="4"/>
    </row>
    <row r="3" spans="2:18">
      <c r="B3" s="24">
        <v>3233</v>
      </c>
      <c r="C3" s="24"/>
      <c r="E3">
        <v>5280</v>
      </c>
    </row>
    <row r="4" spans="2:18">
      <c r="B4" s="24">
        <v>3235</v>
      </c>
      <c r="C4" s="24"/>
      <c r="E4">
        <v>5291</v>
      </c>
    </row>
    <row r="5" spans="2:18">
      <c r="B5" s="24">
        <v>3236</v>
      </c>
      <c r="C5" s="24"/>
    </row>
    <row r="6" spans="2:18">
      <c r="B6" s="24">
        <v>3239</v>
      </c>
      <c r="C6" s="24"/>
    </row>
    <row r="7" spans="2:18" ht="29.25" customHeight="1">
      <c r="B7" s="24">
        <v>3241</v>
      </c>
      <c r="C7" s="24"/>
      <c r="F7" s="136" t="s">
        <v>309</v>
      </c>
      <c r="G7" s="61" t="s">
        <v>7</v>
      </c>
      <c r="H7" s="71" t="s">
        <v>224</v>
      </c>
      <c r="I7" s="71" t="s">
        <v>225</v>
      </c>
      <c r="J7" s="71" t="s">
        <v>320</v>
      </c>
      <c r="K7" s="62" t="s">
        <v>321</v>
      </c>
      <c r="L7" s="62" t="s">
        <v>312</v>
      </c>
      <c r="M7" s="62" t="s">
        <v>313</v>
      </c>
      <c r="P7" s="141" t="s">
        <v>314</v>
      </c>
      <c r="Q7" s="142" t="s">
        <v>315</v>
      </c>
      <c r="R7" s="143" t="s">
        <v>316</v>
      </c>
    </row>
    <row r="8" spans="2:18">
      <c r="B8" s="24">
        <v>3242</v>
      </c>
      <c r="C8" s="24"/>
      <c r="G8" s="63" t="s">
        <v>13</v>
      </c>
      <c r="H8" s="51">
        <v>6.64</v>
      </c>
      <c r="I8" s="51">
        <v>9.2799999999999994</v>
      </c>
      <c r="J8" s="51">
        <v>1.41</v>
      </c>
      <c r="K8" s="53">
        <v>1.98</v>
      </c>
      <c r="L8" s="64">
        <f>INDEX($Q$8:$Q$21, MATCH(DASHBOARD!$F5,'Fonterra (SE SA &amp; West Vic)'!$P$8:$P$21,1))</f>
        <v>7.0000000000000007E-2</v>
      </c>
      <c r="M8" s="64">
        <f>INDEX($R$8:$R$21, MATCH(DASHBOARD!$F5,'Fonterra (SE SA &amp; West Vic)'!$P$8:$P$21,1))</f>
        <v>9.8000000000000004E-2</v>
      </c>
      <c r="P8" s="144">
        <v>0</v>
      </c>
      <c r="Q8" s="140">
        <v>0</v>
      </c>
      <c r="R8" s="145">
        <v>0</v>
      </c>
    </row>
    <row r="9" spans="2:18">
      <c r="B9" s="24">
        <v>3243</v>
      </c>
      <c r="C9" s="24"/>
      <c r="G9" s="63" t="s">
        <v>15</v>
      </c>
      <c r="H9" s="51">
        <v>6.64</v>
      </c>
      <c r="I9" s="51">
        <v>9.2799999999999994</v>
      </c>
      <c r="J9" s="51">
        <v>1.41</v>
      </c>
      <c r="K9" s="53">
        <v>1.98</v>
      </c>
      <c r="L9" s="64">
        <f>INDEX($Q$8:$Q$21, MATCH(DASHBOARD!$F6,'Fonterra (SE SA &amp; West Vic)'!$P$8:$P$21,1))</f>
        <v>7.0000000000000007E-2</v>
      </c>
      <c r="M9" s="64">
        <f>INDEX($R$8:$R$21, MATCH(DASHBOARD!$F6,'Fonterra (SE SA &amp; West Vic)'!$P$8:$P$21,1))</f>
        <v>9.8000000000000004E-2</v>
      </c>
      <c r="P9" s="144">
        <v>1651</v>
      </c>
      <c r="Q9" s="140">
        <v>0.01</v>
      </c>
      <c r="R9" s="145">
        <v>1.4E-2</v>
      </c>
    </row>
    <row r="10" spans="2:18">
      <c r="B10" s="24">
        <v>3249</v>
      </c>
      <c r="C10" s="24"/>
      <c r="G10" s="63" t="s">
        <v>16</v>
      </c>
      <c r="H10" s="51">
        <v>6.03</v>
      </c>
      <c r="I10" s="51">
        <v>8.43</v>
      </c>
      <c r="J10" s="51">
        <v>1.41</v>
      </c>
      <c r="K10" s="53">
        <v>1.98</v>
      </c>
      <c r="L10" s="64">
        <f>INDEX($Q$8:$Q$21, MATCH(DASHBOARD!$F7,'Fonterra (SE SA &amp; West Vic)'!$P$8:$P$21,1))</f>
        <v>7.0000000000000007E-2</v>
      </c>
      <c r="M10" s="64">
        <f>INDEX($R$8:$R$21, MATCH(DASHBOARD!$F7,'Fonterra (SE SA &amp; West Vic)'!$P$8:$P$21,1))</f>
        <v>9.8000000000000004E-2</v>
      </c>
      <c r="P10" s="144">
        <v>2701</v>
      </c>
      <c r="Q10" s="140">
        <v>0.02</v>
      </c>
      <c r="R10" s="145">
        <v>2.8000000000000001E-2</v>
      </c>
    </row>
    <row r="11" spans="2:18">
      <c r="B11" s="24">
        <v>3250</v>
      </c>
      <c r="C11" s="24"/>
      <c r="G11" s="63" t="s">
        <v>17</v>
      </c>
      <c r="H11" s="51">
        <v>6.03</v>
      </c>
      <c r="I11" s="51">
        <v>8.43</v>
      </c>
      <c r="J11" s="51">
        <v>1.41</v>
      </c>
      <c r="K11" s="53">
        <v>1.98</v>
      </c>
      <c r="L11" s="64">
        <f>INDEX($Q$8:$Q$21, MATCH(DASHBOARD!$F8,'Fonterra (SE SA &amp; West Vic)'!$P$8:$P$21,1))</f>
        <v>7.0000000000000007E-2</v>
      </c>
      <c r="M11" s="64">
        <f>INDEX($R$8:$R$21, MATCH(DASHBOARD!$F8,'Fonterra (SE SA &amp; West Vic)'!$P$8:$P$21,1))</f>
        <v>9.8000000000000004E-2</v>
      </c>
      <c r="P11" s="144">
        <v>3751</v>
      </c>
      <c r="Q11" s="140">
        <v>0.05</v>
      </c>
      <c r="R11" s="145">
        <v>7.0000000000000007E-2</v>
      </c>
    </row>
    <row r="12" spans="2:18">
      <c r="B12" s="24">
        <v>3251</v>
      </c>
      <c r="C12" s="24"/>
      <c r="G12" s="63" t="s">
        <v>18</v>
      </c>
      <c r="H12" s="51">
        <v>6.03</v>
      </c>
      <c r="I12" s="51">
        <v>8.43</v>
      </c>
      <c r="J12" s="51">
        <v>1.41</v>
      </c>
      <c r="K12" s="53">
        <v>1.98</v>
      </c>
      <c r="L12" s="64">
        <f>INDEX($Q$8:$Q$21, MATCH(DASHBOARD!$F9,'Fonterra (SE SA &amp; West Vic)'!$P$8:$P$21,1))</f>
        <v>7.0000000000000007E-2</v>
      </c>
      <c r="M12" s="64">
        <f>INDEX($R$8:$R$21, MATCH(DASHBOARD!$F9,'Fonterra (SE SA &amp; West Vic)'!$P$8:$P$21,1))</f>
        <v>9.8000000000000004E-2</v>
      </c>
      <c r="P12" s="144">
        <v>5801</v>
      </c>
      <c r="Q12" s="140">
        <v>7.0000000000000007E-2</v>
      </c>
      <c r="R12" s="145">
        <v>9.8000000000000004E-2</v>
      </c>
    </row>
    <row r="13" spans="2:18">
      <c r="B13" s="24">
        <v>3254</v>
      </c>
      <c r="C13" s="24"/>
      <c r="G13" s="63" t="s">
        <v>19</v>
      </c>
      <c r="H13" s="51">
        <v>6.03</v>
      </c>
      <c r="I13" s="51">
        <v>8.43</v>
      </c>
      <c r="J13" s="51">
        <v>1.41</v>
      </c>
      <c r="K13" s="53">
        <v>1.98</v>
      </c>
      <c r="L13" s="64">
        <f>INDEX($Q$8:$Q$21, MATCH(DASHBOARD!$F10,'Fonterra (SE SA &amp; West Vic)'!$P$8:$P$21,1))</f>
        <v>7.0000000000000007E-2</v>
      </c>
      <c r="M13" s="64">
        <f>INDEX($R$8:$R$21, MATCH(DASHBOARD!$F10,'Fonterra (SE SA &amp; West Vic)'!$P$8:$P$21,1))</f>
        <v>9.8000000000000004E-2</v>
      </c>
      <c r="P13" s="144">
        <v>7901</v>
      </c>
      <c r="Q13" s="140">
        <v>0.12</v>
      </c>
      <c r="R13" s="145">
        <v>0.16800000000000001</v>
      </c>
    </row>
    <row r="14" spans="2:18">
      <c r="B14" s="24">
        <v>3260</v>
      </c>
      <c r="C14" s="24"/>
      <c r="G14" s="63" t="s">
        <v>20</v>
      </c>
      <c r="H14" s="51">
        <v>6.64</v>
      </c>
      <c r="I14" s="51">
        <v>9.2799999999999994</v>
      </c>
      <c r="J14" s="51">
        <v>1.41</v>
      </c>
      <c r="K14" s="53">
        <v>1.98</v>
      </c>
      <c r="L14" s="64">
        <f>INDEX($Q$8:$Q$21, MATCH(DASHBOARD!$F11,'Fonterra (SE SA &amp; West Vic)'!$P$8:$P$21,1))</f>
        <v>7.0000000000000007E-2</v>
      </c>
      <c r="M14" s="64">
        <f>INDEX($R$8:$R$21, MATCH(DASHBOARD!$F11,'Fonterra (SE SA &amp; West Vic)'!$P$8:$P$21,1))</f>
        <v>9.8000000000000004E-2</v>
      </c>
      <c r="P14" s="144">
        <v>10001</v>
      </c>
      <c r="Q14" s="140">
        <v>0.16</v>
      </c>
      <c r="R14" s="145">
        <v>0.224</v>
      </c>
    </row>
    <row r="15" spans="2:18">
      <c r="B15" s="24">
        <v>3264</v>
      </c>
      <c r="C15" s="24"/>
      <c r="G15" s="63" t="s">
        <v>21</v>
      </c>
      <c r="H15" s="51">
        <v>6.64</v>
      </c>
      <c r="I15" s="51">
        <v>9.2799999999999994</v>
      </c>
      <c r="J15" s="51">
        <v>1.41</v>
      </c>
      <c r="K15" s="53">
        <v>1.98</v>
      </c>
      <c r="L15" s="64">
        <f>INDEX($Q$8:$Q$21, MATCH(DASHBOARD!$F12,'Fonterra (SE SA &amp; West Vic)'!$P$8:$P$21,1))</f>
        <v>7.0000000000000007E-2</v>
      </c>
      <c r="M15" s="64">
        <f>INDEX($R$8:$R$21, MATCH(DASHBOARD!$F12,'Fonterra (SE SA &amp; West Vic)'!$P$8:$P$21,1))</f>
        <v>9.8000000000000004E-2</v>
      </c>
      <c r="P15" s="144">
        <v>12501</v>
      </c>
      <c r="Q15" s="140">
        <v>0.18</v>
      </c>
      <c r="R15" s="145">
        <v>0.252</v>
      </c>
    </row>
    <row r="16" spans="2:18">
      <c r="B16" s="24">
        <v>3265</v>
      </c>
      <c r="C16" s="24"/>
      <c r="G16" s="63" t="s">
        <v>22</v>
      </c>
      <c r="H16" s="51">
        <v>6.64</v>
      </c>
      <c r="I16" s="51">
        <v>9.2799999999999994</v>
      </c>
      <c r="J16" s="51">
        <v>1.41</v>
      </c>
      <c r="K16" s="53">
        <v>1.98</v>
      </c>
      <c r="L16" s="64">
        <f>INDEX($Q$8:$Q$21, MATCH(DASHBOARD!$F13,'Fonterra (SE SA &amp; West Vic)'!$P$8:$P$21,1))</f>
        <v>7.0000000000000007E-2</v>
      </c>
      <c r="M16" s="64">
        <f>INDEX($R$8:$R$21, MATCH(DASHBOARD!$F13,'Fonterra (SE SA &amp; West Vic)'!$P$8:$P$21,1))</f>
        <v>9.8000000000000004E-2</v>
      </c>
      <c r="P16" s="144">
        <v>15001</v>
      </c>
      <c r="Q16" s="140">
        <v>0.21</v>
      </c>
      <c r="R16" s="145">
        <v>0.29399999999999998</v>
      </c>
    </row>
    <row r="17" spans="2:18">
      <c r="B17" s="24">
        <v>3266</v>
      </c>
      <c r="C17" s="24"/>
      <c r="G17" s="63" t="s">
        <v>23</v>
      </c>
      <c r="H17" s="51">
        <v>6.64</v>
      </c>
      <c r="I17" s="51">
        <v>9.2799999999999994</v>
      </c>
      <c r="J17" s="51">
        <v>1.41</v>
      </c>
      <c r="K17" s="53">
        <v>1.98</v>
      </c>
      <c r="L17" s="64">
        <f>INDEX($Q$8:$Q$21, MATCH(DASHBOARD!$F14,'Fonterra (SE SA &amp; West Vic)'!$P$8:$P$21,1))</f>
        <v>7.0000000000000007E-2</v>
      </c>
      <c r="M17" s="64">
        <f>INDEX($R$8:$R$21, MATCH(DASHBOARD!$F14,'Fonterra (SE SA &amp; West Vic)'!$P$8:$P$21,1))</f>
        <v>9.8000000000000004E-2</v>
      </c>
      <c r="P17" s="144">
        <v>17501</v>
      </c>
      <c r="Q17" s="140">
        <v>0.23</v>
      </c>
      <c r="R17" s="145">
        <v>0.32200000000000001</v>
      </c>
    </row>
    <row r="18" spans="2:18">
      <c r="B18" s="24">
        <v>3267</v>
      </c>
      <c r="C18" s="24"/>
      <c r="G18" s="63" t="s">
        <v>24</v>
      </c>
      <c r="H18" s="51">
        <v>6.64</v>
      </c>
      <c r="I18" s="51">
        <v>9.2799999999999994</v>
      </c>
      <c r="J18" s="51">
        <v>1.41</v>
      </c>
      <c r="K18" s="53">
        <v>1.98</v>
      </c>
      <c r="L18" s="64">
        <f>INDEX($Q$8:$Q$21, MATCH(DASHBOARD!$F15,'Fonterra (SE SA &amp; West Vic)'!$P$8:$P$21,1))</f>
        <v>7.0000000000000007E-2</v>
      </c>
      <c r="M18" s="64">
        <f>INDEX($R$8:$R$21, MATCH(DASHBOARD!$F15,'Fonterra (SE SA &amp; West Vic)'!$P$8:$P$21,1))</f>
        <v>9.8000000000000004E-2</v>
      </c>
      <c r="P18" s="144">
        <v>20001</v>
      </c>
      <c r="Q18" s="140">
        <v>0.24</v>
      </c>
      <c r="R18" s="145">
        <v>0.33600000000000002</v>
      </c>
    </row>
    <row r="19" spans="2:18">
      <c r="B19" s="24">
        <v>3268</v>
      </c>
      <c r="C19" s="24"/>
      <c r="G19" s="65" t="s">
        <v>25</v>
      </c>
      <c r="H19" s="55">
        <v>6.64</v>
      </c>
      <c r="I19" s="55">
        <v>9.2799999999999994</v>
      </c>
      <c r="J19" s="55">
        <v>1.41</v>
      </c>
      <c r="K19" s="56">
        <v>1.98</v>
      </c>
      <c r="L19" s="64">
        <f>INDEX($Q$8:$Q$21, MATCH(DASHBOARD!$F16,'Fonterra (SE SA &amp; West Vic)'!$P$8:$P$21,1))</f>
        <v>7.0000000000000007E-2</v>
      </c>
      <c r="M19" s="64">
        <f>INDEX($R$8:$R$21, MATCH(DASHBOARD!$F16,'Fonterra (SE SA &amp; West Vic)'!$P$8:$P$21,1))</f>
        <v>9.8000000000000004E-2</v>
      </c>
      <c r="P19" s="144">
        <v>40001</v>
      </c>
      <c r="Q19" s="140">
        <v>0.25</v>
      </c>
      <c r="R19" s="145">
        <v>0.35</v>
      </c>
    </row>
    <row r="20" spans="2:18">
      <c r="B20" s="24">
        <v>3269</v>
      </c>
      <c r="C20" s="24"/>
      <c r="P20" s="144">
        <v>60001</v>
      </c>
      <c r="Q20" s="140">
        <v>0.27</v>
      </c>
      <c r="R20" s="145">
        <v>0.378</v>
      </c>
    </row>
    <row r="21" spans="2:18">
      <c r="B21" s="24">
        <v>3272</v>
      </c>
      <c r="C21" s="24"/>
      <c r="G21" t="s">
        <v>26</v>
      </c>
      <c r="P21" s="146">
        <v>80000</v>
      </c>
      <c r="Q21" s="147">
        <v>0.28999999999999998</v>
      </c>
      <c r="R21" s="148">
        <v>0.40600000000000003</v>
      </c>
    </row>
    <row r="22" spans="2:18">
      <c r="B22" s="24">
        <v>3275</v>
      </c>
      <c r="C22" s="24"/>
    </row>
    <row r="23" spans="2:18" ht="91.5">
      <c r="B23" s="24">
        <v>3276</v>
      </c>
      <c r="C23" s="24"/>
      <c r="F23" s="136" t="s">
        <v>317</v>
      </c>
      <c r="G23" s="61" t="s">
        <v>7</v>
      </c>
      <c r="H23" s="71" t="s">
        <v>224</v>
      </c>
      <c r="I23" s="71" t="s">
        <v>225</v>
      </c>
      <c r="J23" s="71" t="s">
        <v>320</v>
      </c>
      <c r="K23" s="62" t="s">
        <v>321</v>
      </c>
      <c r="L23" s="62" t="s">
        <v>312</v>
      </c>
      <c r="M23" s="62" t="s">
        <v>313</v>
      </c>
    </row>
    <row r="24" spans="2:18">
      <c r="B24" s="24">
        <v>3277</v>
      </c>
      <c r="C24" s="24"/>
      <c r="G24" s="63" t="s">
        <v>13</v>
      </c>
      <c r="H24" s="51">
        <v>6.75</v>
      </c>
      <c r="I24" s="51">
        <v>9.44</v>
      </c>
      <c r="J24" s="51">
        <v>1.41</v>
      </c>
      <c r="K24" s="53">
        <v>1.98</v>
      </c>
      <c r="L24" s="64">
        <f>INDEX($Q$8:$Q$21, MATCH(DASHBOARD!$F5,'Fonterra (SE SA &amp; West Vic)'!$P$8:$P$21,1))</f>
        <v>7.0000000000000007E-2</v>
      </c>
      <c r="M24" s="64">
        <f>INDEX($R$8:$R$21, MATCH(DASHBOARD!$F5,'Fonterra (SE SA &amp; West Vic)'!$P$8:$P$21,1))</f>
        <v>9.8000000000000004E-2</v>
      </c>
    </row>
    <row r="25" spans="2:18">
      <c r="B25" s="24">
        <v>3278</v>
      </c>
      <c r="C25" s="24"/>
      <c r="G25" s="63" t="s">
        <v>15</v>
      </c>
      <c r="H25" s="51">
        <v>6.45</v>
      </c>
      <c r="I25" s="51">
        <v>9.02</v>
      </c>
      <c r="J25" s="51">
        <v>1.41</v>
      </c>
      <c r="K25" s="53">
        <v>1.98</v>
      </c>
      <c r="L25" s="64">
        <f>INDEX($Q$8:$Q$21, MATCH(DASHBOARD!$F6,'Fonterra (SE SA &amp; West Vic)'!$P$8:$P$21,1))</f>
        <v>7.0000000000000007E-2</v>
      </c>
      <c r="M25" s="64">
        <f>INDEX($R$8:$R$21, MATCH(DASHBOARD!$F6,'Fonterra (SE SA &amp; West Vic)'!$P$8:$P$21,1))</f>
        <v>9.8000000000000004E-2</v>
      </c>
    </row>
    <row r="26" spans="2:18">
      <c r="B26" s="24">
        <v>3279</v>
      </c>
      <c r="G26" s="63" t="s">
        <v>16</v>
      </c>
      <c r="H26" s="51">
        <v>6.03</v>
      </c>
      <c r="I26" s="51">
        <v>8.43</v>
      </c>
      <c r="J26" s="51">
        <v>1.41</v>
      </c>
      <c r="K26" s="53">
        <v>1.98</v>
      </c>
      <c r="L26" s="64">
        <f>INDEX($Q$8:$Q$21, MATCH(DASHBOARD!$F7,'Fonterra (SE SA &amp; West Vic)'!$P$8:$P$21,1))</f>
        <v>7.0000000000000007E-2</v>
      </c>
      <c r="M26" s="64">
        <f>INDEX($R$8:$R$21, MATCH(DASHBOARD!$F7,'Fonterra (SE SA &amp; West Vic)'!$P$8:$P$21,1))</f>
        <v>9.8000000000000004E-2</v>
      </c>
    </row>
    <row r="27" spans="2:18">
      <c r="B27" s="24">
        <v>3280</v>
      </c>
      <c r="G27" s="63" t="s">
        <v>17</v>
      </c>
      <c r="H27" s="51">
        <v>6.03</v>
      </c>
      <c r="I27" s="51">
        <v>8.43</v>
      </c>
      <c r="J27" s="51">
        <v>1.41</v>
      </c>
      <c r="K27" s="53">
        <v>1.98</v>
      </c>
      <c r="L27" s="64">
        <f>INDEX($Q$8:$Q$21, MATCH(DASHBOARD!$F8,'Fonterra (SE SA &amp; West Vic)'!$P$8:$P$21,1))</f>
        <v>7.0000000000000007E-2</v>
      </c>
      <c r="M27" s="64">
        <f>INDEX($R$8:$R$21, MATCH(DASHBOARD!$F8,'Fonterra (SE SA &amp; West Vic)'!$P$8:$P$21,1))</f>
        <v>9.8000000000000004E-2</v>
      </c>
    </row>
    <row r="28" spans="2:18">
      <c r="B28" s="24">
        <v>3281</v>
      </c>
      <c r="G28" s="63" t="s">
        <v>18</v>
      </c>
      <c r="H28" s="51">
        <v>6.03</v>
      </c>
      <c r="I28" s="51">
        <v>8.43</v>
      </c>
      <c r="J28" s="51">
        <v>1.41</v>
      </c>
      <c r="K28" s="53">
        <v>1.98</v>
      </c>
      <c r="L28" s="64">
        <f>INDEX($Q$8:$Q$21, MATCH(DASHBOARD!$F9,'Fonterra (SE SA &amp; West Vic)'!$P$8:$P$21,1))</f>
        <v>7.0000000000000007E-2</v>
      </c>
      <c r="M28" s="64">
        <f>INDEX($R$8:$R$21, MATCH(DASHBOARD!$F9,'Fonterra (SE SA &amp; West Vic)'!$P$8:$P$21,1))</f>
        <v>9.8000000000000004E-2</v>
      </c>
    </row>
    <row r="29" spans="2:18">
      <c r="B29" s="24">
        <v>3282</v>
      </c>
      <c r="G29" s="63" t="s">
        <v>19</v>
      </c>
      <c r="H29" s="51">
        <v>6.03</v>
      </c>
      <c r="I29" s="51">
        <v>8.43</v>
      </c>
      <c r="J29" s="51">
        <v>1.41</v>
      </c>
      <c r="K29" s="53">
        <v>1.98</v>
      </c>
      <c r="L29" s="64">
        <f>INDEX($Q$8:$Q$21, MATCH(DASHBOARD!$F10,'Fonterra (SE SA &amp; West Vic)'!$P$8:$P$21,1))</f>
        <v>7.0000000000000007E-2</v>
      </c>
      <c r="M29" s="64">
        <f>INDEX($R$8:$R$21, MATCH(DASHBOARD!$F10,'Fonterra (SE SA &amp; West Vic)'!$P$8:$P$21,1))</f>
        <v>9.8000000000000004E-2</v>
      </c>
    </row>
    <row r="30" spans="2:18">
      <c r="B30" s="24">
        <v>3283</v>
      </c>
      <c r="G30" s="63" t="s">
        <v>20</v>
      </c>
      <c r="H30" s="51">
        <v>6.03</v>
      </c>
      <c r="I30" s="51">
        <v>8.43</v>
      </c>
      <c r="J30" s="51">
        <v>1.41</v>
      </c>
      <c r="K30" s="53">
        <v>1.98</v>
      </c>
      <c r="L30" s="64">
        <f>INDEX($Q$8:$Q$21, MATCH(DASHBOARD!$F11,'Fonterra (SE SA &amp; West Vic)'!$P$8:$P$21,1))</f>
        <v>7.0000000000000007E-2</v>
      </c>
      <c r="M30" s="64">
        <f>INDEX($R$8:$R$21, MATCH(DASHBOARD!$F11,'Fonterra (SE SA &amp; West Vic)'!$P$8:$P$21,1))</f>
        <v>9.8000000000000004E-2</v>
      </c>
    </row>
    <row r="31" spans="2:18">
      <c r="B31" s="24">
        <v>3284</v>
      </c>
      <c r="G31" s="63" t="s">
        <v>21</v>
      </c>
      <c r="H31" s="51">
        <v>6.45</v>
      </c>
      <c r="I31" s="51">
        <v>9.02</v>
      </c>
      <c r="J31" s="51">
        <v>1.41</v>
      </c>
      <c r="K31" s="53">
        <v>1.98</v>
      </c>
      <c r="L31" s="64">
        <f>INDEX($Q$8:$Q$21, MATCH(DASHBOARD!$F12,'Fonterra (SE SA &amp; West Vic)'!$P$8:$P$21,1))</f>
        <v>7.0000000000000007E-2</v>
      </c>
      <c r="M31" s="64">
        <f>INDEX($R$8:$R$21, MATCH(DASHBOARD!$F12,'Fonterra (SE SA &amp; West Vic)'!$P$8:$P$21,1))</f>
        <v>9.8000000000000004E-2</v>
      </c>
    </row>
    <row r="32" spans="2:18">
      <c r="B32" s="24">
        <v>3285</v>
      </c>
      <c r="G32" s="63" t="s">
        <v>22</v>
      </c>
      <c r="H32" s="51">
        <v>6.75</v>
      </c>
      <c r="I32" s="51">
        <v>9.44</v>
      </c>
      <c r="J32" s="51">
        <v>1.41</v>
      </c>
      <c r="K32" s="53">
        <v>1.98</v>
      </c>
      <c r="L32" s="64">
        <f>INDEX($Q$8:$Q$21, MATCH(DASHBOARD!$F13,'Fonterra (SE SA &amp; West Vic)'!$P$8:$P$21,1))</f>
        <v>7.0000000000000007E-2</v>
      </c>
      <c r="M32" s="64">
        <f>INDEX($R$8:$R$21, MATCH(DASHBOARD!$F13,'Fonterra (SE SA &amp; West Vic)'!$P$8:$P$21,1))</f>
        <v>9.8000000000000004E-2</v>
      </c>
    </row>
    <row r="33" spans="2:13">
      <c r="B33" s="24">
        <v>3287</v>
      </c>
      <c r="G33" s="63" t="s">
        <v>23</v>
      </c>
      <c r="H33" s="51">
        <v>6.91</v>
      </c>
      <c r="I33" s="51">
        <v>9.66</v>
      </c>
      <c r="J33" s="51">
        <v>1.41</v>
      </c>
      <c r="K33" s="53">
        <v>1.98</v>
      </c>
      <c r="L33" s="64">
        <f>INDEX($Q$8:$Q$21, MATCH(DASHBOARD!$F14,'Fonterra (SE SA &amp; West Vic)'!$P$8:$P$21,1))</f>
        <v>7.0000000000000007E-2</v>
      </c>
      <c r="M33" s="64">
        <f>INDEX($R$8:$R$21, MATCH(DASHBOARD!$F14,'Fonterra (SE SA &amp; West Vic)'!$P$8:$P$21,1))</f>
        <v>9.8000000000000004E-2</v>
      </c>
    </row>
    <row r="34" spans="2:13">
      <c r="B34" s="24">
        <v>3289</v>
      </c>
      <c r="G34" s="63" t="s">
        <v>24</v>
      </c>
      <c r="H34" s="51">
        <v>7.01</v>
      </c>
      <c r="I34" s="51">
        <v>9.8000000000000007</v>
      </c>
      <c r="J34" s="51">
        <v>1.41</v>
      </c>
      <c r="K34" s="53">
        <v>1.98</v>
      </c>
      <c r="L34" s="64">
        <f>INDEX($Q$8:$Q$21, MATCH(DASHBOARD!$F15,'Fonterra (SE SA &amp; West Vic)'!$P$8:$P$21,1))</f>
        <v>7.0000000000000007E-2</v>
      </c>
      <c r="M34" s="64">
        <f>INDEX($R$8:$R$21, MATCH(DASHBOARD!$F15,'Fonterra (SE SA &amp; West Vic)'!$P$8:$P$21,1))</f>
        <v>9.8000000000000004E-2</v>
      </c>
    </row>
    <row r="35" spans="2:13">
      <c r="B35" s="24">
        <v>3301</v>
      </c>
      <c r="G35" s="65" t="s">
        <v>25</v>
      </c>
      <c r="H35" s="55">
        <v>7.17</v>
      </c>
      <c r="I35" s="55">
        <v>10.029999999999999</v>
      </c>
      <c r="J35" s="55">
        <v>1.41</v>
      </c>
      <c r="K35" s="56">
        <v>1.98</v>
      </c>
      <c r="L35" s="64">
        <f>INDEX($Q$8:$Q$21, MATCH(DASHBOARD!$F16,'Fonterra (SE SA &amp; West Vic)'!$P$8:$P$21,1))</f>
        <v>7.0000000000000007E-2</v>
      </c>
      <c r="M35" s="64">
        <f>INDEX($R$8:$R$21, MATCH(DASHBOARD!$F16,'Fonterra (SE SA &amp; West Vic)'!$P$8:$P$21,1))</f>
        <v>9.8000000000000004E-2</v>
      </c>
    </row>
    <row r="36" spans="2:13">
      <c r="B36" s="24">
        <v>3303</v>
      </c>
    </row>
    <row r="37" spans="2:13">
      <c r="B37" s="24">
        <v>3304</v>
      </c>
    </row>
    <row r="38" spans="2:13">
      <c r="B38" s="24">
        <v>3325</v>
      </c>
    </row>
    <row r="39" spans="2:13">
      <c r="B39" s="24">
        <v>3809</v>
      </c>
    </row>
    <row r="40" spans="2:13">
      <c r="B40" s="24">
        <v>3810</v>
      </c>
    </row>
    <row r="41" spans="2:13">
      <c r="B41" s="24">
        <v>3812</v>
      </c>
    </row>
    <row r="42" spans="2:13">
      <c r="B42" s="24">
        <v>3815</v>
      </c>
    </row>
    <row r="43" spans="2:13">
      <c r="B43" s="24">
        <v>3816</v>
      </c>
    </row>
    <row r="44" spans="2:13">
      <c r="B44" s="24">
        <v>3818</v>
      </c>
    </row>
    <row r="45" spans="2:13">
      <c r="B45" s="24">
        <v>3820</v>
      </c>
    </row>
    <row r="46" spans="2:13">
      <c r="B46" s="24">
        <v>3821</v>
      </c>
    </row>
    <row r="47" spans="2:13">
      <c r="B47" s="24">
        <v>3822</v>
      </c>
    </row>
    <row r="48" spans="2:13">
      <c r="B48" s="24">
        <v>3823</v>
      </c>
    </row>
    <row r="49" spans="2:2">
      <c r="B49" s="24">
        <v>3824</v>
      </c>
    </row>
    <row r="50" spans="2:2">
      <c r="B50" s="24">
        <v>3825</v>
      </c>
    </row>
    <row r="51" spans="2:2">
      <c r="B51" s="24">
        <v>3831</v>
      </c>
    </row>
    <row r="52" spans="2:2">
      <c r="B52" s="24">
        <v>3832</v>
      </c>
    </row>
    <row r="53" spans="2:2">
      <c r="B53" s="24">
        <v>3835</v>
      </c>
    </row>
    <row r="54" spans="2:2">
      <c r="B54" s="24">
        <v>3840</v>
      </c>
    </row>
    <row r="55" spans="2:2">
      <c r="B55" s="24">
        <v>3847</v>
      </c>
    </row>
    <row r="56" spans="2:2">
      <c r="B56" s="24">
        <v>3850</v>
      </c>
    </row>
    <row r="57" spans="2:2">
      <c r="B57" s="24">
        <v>3851</v>
      </c>
    </row>
    <row r="58" spans="2:2">
      <c r="B58" s="24">
        <v>3857</v>
      </c>
    </row>
    <row r="59" spans="2:2">
      <c r="B59" s="24">
        <v>3858</v>
      </c>
    </row>
    <row r="60" spans="2:2">
      <c r="B60" s="24">
        <v>3859</v>
      </c>
    </row>
    <row r="61" spans="2:2">
      <c r="B61" s="24">
        <v>3860</v>
      </c>
    </row>
    <row r="62" spans="2:2">
      <c r="B62" s="24">
        <v>3869</v>
      </c>
    </row>
    <row r="63" spans="2:2">
      <c r="B63" s="24">
        <v>3870</v>
      </c>
    </row>
    <row r="64" spans="2:2">
      <c r="B64" s="24">
        <v>3871</v>
      </c>
    </row>
    <row r="65" spans="2:2">
      <c r="B65" s="24">
        <v>3873</v>
      </c>
    </row>
    <row r="66" spans="2:2">
      <c r="B66" s="24">
        <v>3875</v>
      </c>
    </row>
    <row r="67" spans="2:2">
      <c r="B67" s="24">
        <v>3945</v>
      </c>
    </row>
    <row r="68" spans="2:2">
      <c r="B68" s="24">
        <v>3950</v>
      </c>
    </row>
    <row r="69" spans="2:2">
      <c r="B69" s="24">
        <v>3951</v>
      </c>
    </row>
    <row r="70" spans="2:2">
      <c r="B70" s="24">
        <v>3953</v>
      </c>
    </row>
    <row r="71" spans="2:2">
      <c r="B71" s="24">
        <v>3956</v>
      </c>
    </row>
    <row r="72" spans="2:2">
      <c r="B72" s="24">
        <v>3957</v>
      </c>
    </row>
    <row r="73" spans="2:2">
      <c r="B73" s="24">
        <v>3958</v>
      </c>
    </row>
    <row r="74" spans="2:2">
      <c r="B74" s="24">
        <v>3959</v>
      </c>
    </row>
    <row r="75" spans="2:2">
      <c r="B75" s="24">
        <v>3960</v>
      </c>
    </row>
    <row r="76" spans="2:2">
      <c r="B76" s="24">
        <v>3962</v>
      </c>
    </row>
    <row r="77" spans="2:2">
      <c r="B77" s="24">
        <v>3966</v>
      </c>
    </row>
    <row r="78" spans="2:2">
      <c r="B78" s="24">
        <v>3971</v>
      </c>
    </row>
    <row r="79" spans="2:2">
      <c r="B79" s="24">
        <v>3977</v>
      </c>
    </row>
    <row r="80" spans="2:2">
      <c r="B80" s="24">
        <v>3978</v>
      </c>
    </row>
    <row r="81" spans="2:2">
      <c r="B81" s="24">
        <v>3981</v>
      </c>
    </row>
    <row r="82" spans="2:2">
      <c r="B82" s="24">
        <v>3987</v>
      </c>
    </row>
    <row r="83" spans="2:2">
      <c r="B83" s="24">
        <v>3988</v>
      </c>
    </row>
    <row r="84" spans="2:2">
      <c r="B84" s="24">
        <v>3992</v>
      </c>
    </row>
    <row r="85" spans="2:2">
      <c r="B85" s="24">
        <v>3995</v>
      </c>
    </row>
    <row r="86" spans="2:2">
      <c r="B86" s="24">
        <v>3996</v>
      </c>
    </row>
  </sheetData>
  <sheetProtection algorithmName="SHA-512" hashValue="2JqE9Gb8WYaV2hRAg3Yid1qcng74/UyfdKHF6mMCjOHl0KzkTCTbav5ReAwFRDUrKew2j8WsewgeFe+2NimkHA==" saltValue="Ev2duTOr5CDy7RDAjWC/vA==" spinCount="100000" sheet="1" objects="1" scenarios="1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5915-B96D-4DAA-BD98-77CEC202277A}">
  <dimension ref="A1:E29"/>
  <sheetViews>
    <sheetView workbookViewId="0">
      <selection activeCell="M24" sqref="M24"/>
    </sheetView>
  </sheetViews>
  <sheetFormatPr defaultRowHeight="15"/>
  <cols>
    <col min="1" max="1" width="33.5703125" customWidth="1"/>
  </cols>
  <sheetData>
    <row r="1" spans="1:5">
      <c r="A1" t="s">
        <v>323</v>
      </c>
    </row>
    <row r="2" spans="1:5" ht="15.75" thickBot="1"/>
    <row r="3" spans="1:5" ht="45">
      <c r="B3" s="136" t="s">
        <v>282</v>
      </c>
      <c r="C3" s="61" t="s">
        <v>7</v>
      </c>
      <c r="D3" s="71" t="s">
        <v>224</v>
      </c>
      <c r="E3" s="62" t="s">
        <v>225</v>
      </c>
    </row>
    <row r="4" spans="1:5">
      <c r="C4" s="63" t="s">
        <v>13</v>
      </c>
      <c r="D4" s="67">
        <v>5.54</v>
      </c>
      <c r="E4" s="90">
        <v>11.08</v>
      </c>
    </row>
    <row r="5" spans="1:5">
      <c r="C5" s="63" t="s">
        <v>15</v>
      </c>
      <c r="D5" s="67">
        <v>5.54</v>
      </c>
      <c r="E5" s="90">
        <v>11.08</v>
      </c>
    </row>
    <row r="6" spans="1:5">
      <c r="C6" s="63" t="s">
        <v>16</v>
      </c>
      <c r="D6" s="67">
        <v>5.54</v>
      </c>
      <c r="E6" s="90">
        <v>11.08</v>
      </c>
    </row>
    <row r="7" spans="1:5">
      <c r="C7" s="63" t="s">
        <v>17</v>
      </c>
      <c r="D7" s="67">
        <v>5.54</v>
      </c>
      <c r="E7" s="90">
        <v>11.08</v>
      </c>
    </row>
    <row r="8" spans="1:5">
      <c r="C8" s="63" t="s">
        <v>18</v>
      </c>
      <c r="D8" s="67">
        <v>5.54</v>
      </c>
      <c r="E8" s="90">
        <v>11.08</v>
      </c>
    </row>
    <row r="9" spans="1:5">
      <c r="C9" s="63" t="s">
        <v>19</v>
      </c>
      <c r="D9" s="67">
        <v>5.54</v>
      </c>
      <c r="E9" s="90">
        <v>11.08</v>
      </c>
    </row>
    <row r="10" spans="1:5">
      <c r="C10" s="63" t="s">
        <v>20</v>
      </c>
      <c r="D10" s="67">
        <v>5.54</v>
      </c>
      <c r="E10" s="90">
        <v>11.08</v>
      </c>
    </row>
    <row r="11" spans="1:5">
      <c r="C11" s="63" t="s">
        <v>21</v>
      </c>
      <c r="D11" s="67">
        <v>5.54</v>
      </c>
      <c r="E11" s="90">
        <v>11.08</v>
      </c>
    </row>
    <row r="12" spans="1:5">
      <c r="C12" s="63" t="s">
        <v>22</v>
      </c>
      <c r="D12" s="67">
        <v>5.54</v>
      </c>
      <c r="E12" s="90">
        <v>11.08</v>
      </c>
    </row>
    <row r="13" spans="1:5">
      <c r="C13" s="63" t="s">
        <v>23</v>
      </c>
      <c r="D13" s="67">
        <v>5.54</v>
      </c>
      <c r="E13" s="90">
        <v>11.08</v>
      </c>
    </row>
    <row r="14" spans="1:5">
      <c r="C14" s="63" t="s">
        <v>24</v>
      </c>
      <c r="D14" s="67">
        <v>5.54</v>
      </c>
      <c r="E14" s="90">
        <v>11.08</v>
      </c>
    </row>
    <row r="15" spans="1:5" ht="15.75" thickBot="1">
      <c r="C15" s="65" t="s">
        <v>25</v>
      </c>
      <c r="D15" s="69">
        <v>5.54</v>
      </c>
      <c r="E15" s="91">
        <v>11.08</v>
      </c>
    </row>
    <row r="17" spans="2:4" ht="30.75">
      <c r="B17" s="136" t="s">
        <v>263</v>
      </c>
      <c r="C17" s="61" t="s">
        <v>7</v>
      </c>
      <c r="D17" s="71" t="s">
        <v>324</v>
      </c>
    </row>
    <row r="18" spans="2:4">
      <c r="C18" s="63" t="s">
        <v>13</v>
      </c>
      <c r="D18" s="67">
        <v>8</v>
      </c>
    </row>
    <row r="19" spans="2:4">
      <c r="C19" s="63" t="s">
        <v>15</v>
      </c>
      <c r="D19" s="67">
        <v>8</v>
      </c>
    </row>
    <row r="20" spans="2:4">
      <c r="C20" s="63" t="s">
        <v>16</v>
      </c>
      <c r="D20" s="67">
        <v>8</v>
      </c>
    </row>
    <row r="21" spans="2:4">
      <c r="C21" s="63" t="s">
        <v>17</v>
      </c>
      <c r="D21" s="67">
        <v>8</v>
      </c>
    </row>
    <row r="22" spans="2:4">
      <c r="C22" s="63" t="s">
        <v>18</v>
      </c>
      <c r="D22" s="67">
        <v>8</v>
      </c>
    </row>
    <row r="23" spans="2:4">
      <c r="C23" s="63" t="s">
        <v>19</v>
      </c>
      <c r="D23" s="67">
        <v>8</v>
      </c>
    </row>
    <row r="24" spans="2:4">
      <c r="C24" s="63" t="s">
        <v>20</v>
      </c>
      <c r="D24" s="67">
        <v>8</v>
      </c>
    </row>
    <row r="25" spans="2:4">
      <c r="C25" s="63" t="s">
        <v>21</v>
      </c>
      <c r="D25" s="67">
        <v>8</v>
      </c>
    </row>
    <row r="26" spans="2:4">
      <c r="C26" s="63" t="s">
        <v>22</v>
      </c>
      <c r="D26" s="67">
        <v>8</v>
      </c>
    </row>
    <row r="27" spans="2:4">
      <c r="C27" s="63" t="s">
        <v>23</v>
      </c>
      <c r="D27" s="67">
        <v>8</v>
      </c>
    </row>
    <row r="28" spans="2:4">
      <c r="C28" s="63" t="s">
        <v>24</v>
      </c>
      <c r="D28" s="67">
        <v>8</v>
      </c>
    </row>
    <row r="29" spans="2:4">
      <c r="C29" s="65" t="s">
        <v>25</v>
      </c>
      <c r="D29" s="67">
        <v>8</v>
      </c>
    </row>
  </sheetData>
  <sheetProtection algorithmName="SHA-512" hashValue="nBz+MwM97XLTiUSzBdrBZx+oIOcA9ML90iodA+K2icxOflgUM5FzkVWfGc/oJ/nJNv5PeuNGgtz750x++q4HKQ==" saltValue="oQqBz5JAW+nkShgrjo8xeQ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B042-0018-48C4-96A4-7F49FBBB7ED4}">
  <dimension ref="A1:E15"/>
  <sheetViews>
    <sheetView workbookViewId="0">
      <selection activeCell="C3" sqref="C3"/>
    </sheetView>
  </sheetViews>
  <sheetFormatPr defaultRowHeight="15"/>
  <cols>
    <col min="3" max="3" width="10.85546875" bestFit="1" customWidth="1"/>
  </cols>
  <sheetData>
    <row r="1" spans="1:5">
      <c r="A1" t="s">
        <v>325</v>
      </c>
    </row>
    <row r="2" spans="1:5" ht="15.75" thickBot="1"/>
    <row r="3" spans="1:5" ht="45">
      <c r="C3" s="61" t="s">
        <v>7</v>
      </c>
      <c r="D3" s="71" t="s">
        <v>224</v>
      </c>
      <c r="E3" s="62" t="s">
        <v>225</v>
      </c>
    </row>
    <row r="4" spans="1:5">
      <c r="C4" s="63" t="s">
        <v>13</v>
      </c>
      <c r="D4" s="67">
        <v>6.3</v>
      </c>
      <c r="E4" s="90">
        <v>11.03</v>
      </c>
    </row>
    <row r="5" spans="1:5">
      <c r="C5" s="63" t="s">
        <v>15</v>
      </c>
      <c r="D5" s="67">
        <v>6.3</v>
      </c>
      <c r="E5" s="90">
        <v>11.03</v>
      </c>
    </row>
    <row r="6" spans="1:5">
      <c r="C6" s="63" t="s">
        <v>16</v>
      </c>
      <c r="D6" s="67">
        <v>6.3</v>
      </c>
      <c r="E6" s="90">
        <v>11.03</v>
      </c>
    </row>
    <row r="7" spans="1:5">
      <c r="C7" s="63" t="s">
        <v>17</v>
      </c>
      <c r="D7" s="67">
        <v>6.3</v>
      </c>
      <c r="E7" s="90">
        <v>11.03</v>
      </c>
    </row>
    <row r="8" spans="1:5">
      <c r="C8" s="63" t="s">
        <v>18</v>
      </c>
      <c r="D8" s="67">
        <v>6.3</v>
      </c>
      <c r="E8" s="90">
        <v>11.03</v>
      </c>
    </row>
    <row r="9" spans="1:5">
      <c r="C9" s="63" t="s">
        <v>19</v>
      </c>
      <c r="D9" s="67">
        <v>6.3</v>
      </c>
      <c r="E9" s="90">
        <v>11.03</v>
      </c>
    </row>
    <row r="10" spans="1:5">
      <c r="C10" s="63" t="s">
        <v>20</v>
      </c>
      <c r="D10" s="67">
        <v>6.75</v>
      </c>
      <c r="E10" s="90">
        <v>11.81</v>
      </c>
    </row>
    <row r="11" spans="1:5">
      <c r="C11" s="63" t="s">
        <v>21</v>
      </c>
      <c r="D11" s="67">
        <v>6.75</v>
      </c>
      <c r="E11" s="90">
        <v>11.81</v>
      </c>
    </row>
    <row r="12" spans="1:5">
      <c r="C12" s="63" t="s">
        <v>22</v>
      </c>
      <c r="D12" s="67">
        <v>6.75</v>
      </c>
      <c r="E12" s="90">
        <v>11.81</v>
      </c>
    </row>
    <row r="13" spans="1:5">
      <c r="C13" s="63" t="s">
        <v>23</v>
      </c>
      <c r="D13" s="67">
        <v>6.75</v>
      </c>
      <c r="E13" s="90">
        <v>11.81</v>
      </c>
    </row>
    <row r="14" spans="1:5">
      <c r="C14" s="63" t="s">
        <v>24</v>
      </c>
      <c r="D14" s="67">
        <v>6.75</v>
      </c>
      <c r="E14" s="90">
        <v>11.81</v>
      </c>
    </row>
    <row r="15" spans="1:5" ht="15.75" thickBot="1">
      <c r="C15" s="65" t="s">
        <v>25</v>
      </c>
      <c r="D15" s="69">
        <v>6.75</v>
      </c>
      <c r="E15" s="91">
        <v>11.81</v>
      </c>
    </row>
  </sheetData>
  <sheetProtection algorithmName="SHA-512" hashValue="F8WXmdnMzStNfcd4UMDPc5Iq7xGpcOdgT3LPqOztj9ASNL0NOsN457eUr1DgkmNJu83PnMBKHo6xmrVGdKfpXw==" saltValue="BvjDEIYgmtD4vwUojemQag==" spinCount="100000" sheet="1" objects="1" scenario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D3B07-3BF7-4358-96F9-287CF9EAF815}">
  <dimension ref="A2:E42"/>
  <sheetViews>
    <sheetView topLeftCell="A2" workbookViewId="0">
      <selection activeCell="E6" sqref="E6"/>
    </sheetView>
  </sheetViews>
  <sheetFormatPr defaultRowHeight="15"/>
  <cols>
    <col min="9" max="9" width="28.7109375" bestFit="1" customWidth="1"/>
  </cols>
  <sheetData>
    <row r="2" spans="1:5" ht="15.75" thickBot="1">
      <c r="A2" t="s">
        <v>326</v>
      </c>
    </row>
    <row r="3" spans="1:5" ht="60">
      <c r="A3" s="24">
        <v>3561</v>
      </c>
      <c r="C3" s="61" t="s">
        <v>7</v>
      </c>
      <c r="D3" s="71" t="s">
        <v>327</v>
      </c>
      <c r="E3" s="62" t="s">
        <v>328</v>
      </c>
    </row>
    <row r="4" spans="1:5">
      <c r="A4" s="24">
        <v>3620</v>
      </c>
      <c r="C4" s="63" t="s">
        <v>13</v>
      </c>
      <c r="D4" s="67">
        <v>0.5</v>
      </c>
      <c r="E4" s="64">
        <f>IF(DASHBOARD!$D5&gt;=4,5,"0")</f>
        <v>5</v>
      </c>
    </row>
    <row r="5" spans="1:5">
      <c r="A5" s="24">
        <v>3636</v>
      </c>
      <c r="C5" s="63" t="s">
        <v>15</v>
      </c>
      <c r="D5" s="67">
        <v>0.5</v>
      </c>
      <c r="E5" s="64">
        <f>IF(DASHBOARD!$D6&gt;=4,5,"0")</f>
        <v>5</v>
      </c>
    </row>
    <row r="6" spans="1:5">
      <c r="A6" s="24">
        <v>3564</v>
      </c>
      <c r="C6" s="63" t="s">
        <v>16</v>
      </c>
      <c r="D6" s="67">
        <v>0.5</v>
      </c>
      <c r="E6" s="64">
        <f>IF(DASHBOARD!$D7&gt;=4,5,"0")</f>
        <v>5</v>
      </c>
    </row>
    <row r="7" spans="1:5">
      <c r="A7" s="24">
        <v>3608</v>
      </c>
      <c r="C7" s="63" t="s">
        <v>17</v>
      </c>
      <c r="D7" s="67">
        <v>0.5</v>
      </c>
      <c r="E7" s="64">
        <f>IF(DASHBOARD!$D8&gt;=4,5,"0")</f>
        <v>5</v>
      </c>
    </row>
    <row r="8" spans="1:5">
      <c r="A8" s="24">
        <v>3616</v>
      </c>
      <c r="C8" s="63" t="s">
        <v>18</v>
      </c>
      <c r="D8" s="67">
        <v>0.5</v>
      </c>
      <c r="E8" s="64">
        <f>IF(DASHBOARD!$D9&gt;=4,5,"0")</f>
        <v>5</v>
      </c>
    </row>
    <row r="9" spans="1:5">
      <c r="A9" s="24">
        <v>3575</v>
      </c>
      <c r="C9" s="63" t="s">
        <v>19</v>
      </c>
      <c r="D9" s="67">
        <v>0.5</v>
      </c>
      <c r="E9" s="64">
        <f>IF(DASHBOARD!$D10&gt;=4,5,"0")</f>
        <v>5</v>
      </c>
    </row>
    <row r="10" spans="1:5">
      <c r="A10" s="24">
        <v>3567</v>
      </c>
      <c r="C10" s="63" t="s">
        <v>20</v>
      </c>
      <c r="D10" s="67">
        <v>0.53100000000000003</v>
      </c>
      <c r="E10" s="64">
        <f>IF(DASHBOARD!$D11&gt;=4,5,"0")</f>
        <v>5</v>
      </c>
    </row>
    <row r="11" spans="1:5">
      <c r="A11" s="24">
        <v>3565</v>
      </c>
      <c r="C11" s="63" t="s">
        <v>21</v>
      </c>
      <c r="D11" s="67">
        <v>0.56999999999999995</v>
      </c>
      <c r="E11" s="64">
        <f>IF(DASHBOARD!$D12&gt;=4,5,"0")</f>
        <v>5</v>
      </c>
    </row>
    <row r="12" spans="1:5">
      <c r="A12" s="24">
        <v>3610</v>
      </c>
      <c r="C12" s="63" t="s">
        <v>22</v>
      </c>
      <c r="D12" s="67">
        <v>0.56999999999999995</v>
      </c>
      <c r="E12" s="64">
        <f>IF(DASHBOARD!$D13&gt;=4,5,"0")</f>
        <v>5</v>
      </c>
    </row>
    <row r="13" spans="1:5">
      <c r="A13" s="24">
        <v>3621</v>
      </c>
      <c r="C13" s="63" t="s">
        <v>23</v>
      </c>
      <c r="D13" s="67">
        <v>0.56999999999999995</v>
      </c>
      <c r="E13" s="64">
        <f>IF(DASHBOARD!$D14&gt;=4,5,"0")</f>
        <v>5</v>
      </c>
    </row>
    <row r="14" spans="1:5">
      <c r="A14" s="24">
        <v>2731</v>
      </c>
      <c r="C14" s="63" t="s">
        <v>24</v>
      </c>
      <c r="D14" s="67">
        <v>0.53100000000000003</v>
      </c>
      <c r="E14" s="64">
        <f>IF(DASHBOARD!$D15&gt;=4,5,"0")</f>
        <v>5</v>
      </c>
    </row>
    <row r="15" spans="1:5" ht="15.75" thickBot="1">
      <c r="A15" s="24">
        <v>3568</v>
      </c>
      <c r="C15" s="65" t="s">
        <v>25</v>
      </c>
      <c r="D15" s="69">
        <v>0.5</v>
      </c>
      <c r="E15" s="66">
        <f>IF(DASHBOARD!$D16&gt;=4,5,"0")</f>
        <v>5</v>
      </c>
    </row>
    <row r="16" spans="1:5">
      <c r="A16" s="24">
        <v>3566</v>
      </c>
    </row>
    <row r="17" spans="1:1">
      <c r="A17" s="24">
        <v>3612</v>
      </c>
    </row>
    <row r="18" spans="1:1">
      <c r="A18" s="24">
        <v>3634</v>
      </c>
    </row>
    <row r="19" spans="1:1">
      <c r="A19" s="24">
        <v>3637</v>
      </c>
    </row>
    <row r="20" spans="1:1">
      <c r="A20" s="24">
        <v>3562</v>
      </c>
    </row>
    <row r="21" spans="1:1">
      <c r="A21" s="24">
        <v>3572</v>
      </c>
    </row>
    <row r="22" spans="1:1">
      <c r="A22" s="24">
        <v>3614</v>
      </c>
    </row>
    <row r="23" spans="1:1">
      <c r="A23" s="24">
        <v>3640</v>
      </c>
    </row>
    <row r="24" spans="1:1">
      <c r="A24" s="24">
        <v>3638</v>
      </c>
    </row>
    <row r="25" spans="1:1">
      <c r="A25" s="24">
        <v>3563</v>
      </c>
    </row>
    <row r="26" spans="1:1">
      <c r="A26" s="24">
        <v>3573</v>
      </c>
    </row>
    <row r="27" spans="1:1">
      <c r="A27" s="24">
        <v>3616</v>
      </c>
    </row>
    <row r="28" spans="1:1">
      <c r="A28" s="24">
        <v>3617</v>
      </c>
    </row>
    <row r="29" spans="1:1">
      <c r="A29" s="24">
        <v>3622</v>
      </c>
    </row>
    <row r="30" spans="1:1">
      <c r="A30" s="24">
        <v>3624</v>
      </c>
    </row>
    <row r="31" spans="1:1">
      <c r="A31" s="24">
        <v>3630</v>
      </c>
    </row>
    <row r="32" spans="1:1">
      <c r="A32" s="24">
        <v>3635</v>
      </c>
    </row>
    <row r="33" spans="1:1">
      <c r="A33" s="24">
        <v>3618</v>
      </c>
    </row>
    <row r="34" spans="1:1">
      <c r="A34" s="24">
        <v>3623</v>
      </c>
    </row>
    <row r="35" spans="1:1">
      <c r="A35" s="24">
        <v>3629</v>
      </c>
    </row>
    <row r="36" spans="1:1">
      <c r="A36" s="24">
        <v>3631</v>
      </c>
    </row>
    <row r="37" spans="1:1">
      <c r="A37" s="24">
        <v>3691</v>
      </c>
    </row>
    <row r="38" spans="1:1">
      <c r="A38" s="24">
        <v>3639</v>
      </c>
    </row>
    <row r="39" spans="1:1">
      <c r="A39" s="24">
        <v>3644</v>
      </c>
    </row>
    <row r="40" spans="1:1">
      <c r="A40" s="24">
        <v>3646</v>
      </c>
    </row>
    <row r="41" spans="1:1">
      <c r="A41" s="24">
        <v>3641</v>
      </c>
    </row>
    <row r="42" spans="1:1">
      <c r="A42" s="24">
        <v>2713</v>
      </c>
    </row>
  </sheetData>
  <sheetProtection algorithmName="SHA-512" hashValue="adHe2VgPtATMuHb373Y5n6GS5ChUVlJwTqZJxV5+ttlm47EH4cgUfeLRXZ+/xQhTzObip17YkkusqxY8sZhd0g==" saltValue="tahsRNSG54tyc+xlnN8gVQ==" spinCount="100000"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1B2F-8618-48D3-B1D1-2C6B7B67C768}">
  <dimension ref="A2:E15"/>
  <sheetViews>
    <sheetView workbookViewId="0">
      <selection activeCell="C4" sqref="C4"/>
    </sheetView>
  </sheetViews>
  <sheetFormatPr defaultRowHeight="15"/>
  <sheetData>
    <row r="2" spans="1:5" ht="15.75" thickBot="1">
      <c r="A2" t="s">
        <v>326</v>
      </c>
    </row>
    <row r="3" spans="1:5" ht="45">
      <c r="A3">
        <v>3260</v>
      </c>
      <c r="C3" s="61" t="s">
        <v>7</v>
      </c>
      <c r="D3" s="71" t="s">
        <v>224</v>
      </c>
      <c r="E3" s="62" t="s">
        <v>225</v>
      </c>
    </row>
    <row r="4" spans="1:5">
      <c r="A4">
        <v>3264</v>
      </c>
      <c r="C4" s="63" t="s">
        <v>13</v>
      </c>
      <c r="D4" s="67">
        <v>7.79</v>
      </c>
      <c r="E4" s="90">
        <v>7.79</v>
      </c>
    </row>
    <row r="5" spans="1:5">
      <c r="A5">
        <v>3265</v>
      </c>
      <c r="C5" s="63" t="s">
        <v>15</v>
      </c>
      <c r="D5" s="67">
        <v>7.79</v>
      </c>
      <c r="E5" s="90">
        <v>7.79</v>
      </c>
    </row>
    <row r="6" spans="1:5">
      <c r="A6">
        <v>3268</v>
      </c>
      <c r="C6" s="63" t="s">
        <v>16</v>
      </c>
      <c r="D6" s="67">
        <v>7.79</v>
      </c>
      <c r="E6" s="90">
        <v>7.79</v>
      </c>
    </row>
    <row r="7" spans="1:5">
      <c r="A7">
        <v>3270</v>
      </c>
      <c r="C7" s="63" t="s">
        <v>17</v>
      </c>
      <c r="D7" s="67">
        <v>7.79</v>
      </c>
      <c r="E7" s="90">
        <v>7.79</v>
      </c>
    </row>
    <row r="8" spans="1:5">
      <c r="A8">
        <v>3271</v>
      </c>
      <c r="C8" s="63" t="s">
        <v>18</v>
      </c>
      <c r="D8" s="67">
        <v>7.79</v>
      </c>
      <c r="E8" s="90">
        <v>7.79</v>
      </c>
    </row>
    <row r="9" spans="1:5">
      <c r="A9">
        <v>3272</v>
      </c>
      <c r="C9" s="63" t="s">
        <v>19</v>
      </c>
      <c r="D9" s="67">
        <v>7.79</v>
      </c>
      <c r="E9" s="90">
        <v>7.79</v>
      </c>
    </row>
    <row r="10" spans="1:5">
      <c r="A10">
        <v>3277</v>
      </c>
      <c r="C10" s="63" t="s">
        <v>20</v>
      </c>
      <c r="D10" s="67">
        <v>7.79</v>
      </c>
      <c r="E10" s="90">
        <v>7.79</v>
      </c>
    </row>
    <row r="11" spans="1:5">
      <c r="A11">
        <v>3278</v>
      </c>
      <c r="C11" s="63" t="s">
        <v>21</v>
      </c>
      <c r="D11" s="67">
        <v>7.79</v>
      </c>
      <c r="E11" s="90">
        <v>7.79</v>
      </c>
    </row>
    <row r="12" spans="1:5">
      <c r="A12">
        <v>3279</v>
      </c>
      <c r="C12" s="63" t="s">
        <v>22</v>
      </c>
      <c r="D12" s="67">
        <v>7.79</v>
      </c>
      <c r="E12" s="90">
        <v>7.79</v>
      </c>
    </row>
    <row r="13" spans="1:5">
      <c r="A13">
        <v>3280</v>
      </c>
      <c r="C13" s="63" t="s">
        <v>23</v>
      </c>
      <c r="D13" s="67">
        <v>7.79</v>
      </c>
      <c r="E13" s="90">
        <v>7.79</v>
      </c>
    </row>
    <row r="14" spans="1:5">
      <c r="A14">
        <v>3282</v>
      </c>
      <c r="C14" s="63" t="s">
        <v>24</v>
      </c>
      <c r="D14" s="67">
        <v>7.79</v>
      </c>
      <c r="E14" s="90">
        <v>7.79</v>
      </c>
    </row>
    <row r="15" spans="1:5" ht="15.75" thickBot="1">
      <c r="C15" s="65" t="s">
        <v>25</v>
      </c>
      <c r="D15" s="69">
        <v>7.79</v>
      </c>
      <c r="E15" s="91">
        <v>7.79</v>
      </c>
    </row>
  </sheetData>
  <sheetProtection algorithmName="SHA-512" hashValue="70yy1LE2v+51KDcr5lQ0JeJhb4WobEG7FXUw9vZS4pojAiuZJEzHdj+i8qkscJ2eM42vX9pBSqttlzixYel6yA==" saltValue="AsllmHVRuVOyTE+yDDOx8w==" spinCount="100000"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8F891-FB06-4CE8-97E8-AD792D2EDE13}">
  <dimension ref="A1:M16"/>
  <sheetViews>
    <sheetView workbookViewId="0">
      <selection activeCell="E3" sqref="E3"/>
    </sheetView>
  </sheetViews>
  <sheetFormatPr defaultRowHeight="15"/>
  <cols>
    <col min="2" max="3" width="12.7109375" customWidth="1"/>
    <col min="9" max="9" width="14" bestFit="1" customWidth="1"/>
  </cols>
  <sheetData>
    <row r="1" spans="1:13" ht="15.75" thickBot="1">
      <c r="A1" t="s">
        <v>329</v>
      </c>
    </row>
    <row r="2" spans="1:13" s="1" customFormat="1" ht="45">
      <c r="B2" s="61" t="s">
        <v>7</v>
      </c>
      <c r="C2" s="71" t="s">
        <v>224</v>
      </c>
      <c r="D2" s="71" t="s">
        <v>225</v>
      </c>
      <c r="E2" s="71" t="s">
        <v>330</v>
      </c>
      <c r="F2" s="62" t="s">
        <v>331</v>
      </c>
      <c r="I2"/>
    </row>
    <row r="3" spans="1:13">
      <c r="B3" s="63" t="s">
        <v>13</v>
      </c>
      <c r="C3" s="51">
        <v>7.63</v>
      </c>
      <c r="D3" s="51">
        <v>11.45</v>
      </c>
      <c r="E3" s="51">
        <v>3.5000000000000003E-2</v>
      </c>
      <c r="F3" s="53">
        <v>0.25</v>
      </c>
      <c r="L3" s="2"/>
      <c r="M3" s="2"/>
    </row>
    <row r="4" spans="1:13">
      <c r="B4" s="63" t="s">
        <v>15</v>
      </c>
      <c r="C4" s="51">
        <v>6.59</v>
      </c>
      <c r="D4" s="51">
        <v>9.89</v>
      </c>
      <c r="E4" s="51">
        <v>3.5000000000000003E-2</v>
      </c>
      <c r="F4" s="53">
        <v>0.25</v>
      </c>
      <c r="L4" s="2"/>
      <c r="M4" s="2"/>
    </row>
    <row r="5" spans="1:13">
      <c r="B5" s="63" t="s">
        <v>16</v>
      </c>
      <c r="C5" s="51">
        <v>6.19</v>
      </c>
      <c r="D5" s="51">
        <v>9.2799999999999994</v>
      </c>
      <c r="E5" s="51">
        <v>3.5000000000000003E-2</v>
      </c>
      <c r="F5" s="53">
        <v>0.25</v>
      </c>
      <c r="L5" s="2"/>
      <c r="M5" s="2"/>
    </row>
    <row r="6" spans="1:13">
      <c r="B6" s="63" t="s">
        <v>17</v>
      </c>
      <c r="C6" s="51">
        <v>6.19</v>
      </c>
      <c r="D6" s="51">
        <v>9.2799999999999994</v>
      </c>
      <c r="E6" s="51">
        <v>3.5000000000000003E-2</v>
      </c>
      <c r="F6" s="53">
        <v>0.25</v>
      </c>
      <c r="L6" s="2"/>
      <c r="M6" s="2"/>
    </row>
    <row r="7" spans="1:13">
      <c r="B7" s="63" t="s">
        <v>18</v>
      </c>
      <c r="C7" s="51">
        <v>6.19</v>
      </c>
      <c r="D7" s="51">
        <v>9.2799999999999994</v>
      </c>
      <c r="E7" s="51">
        <v>3.5000000000000003E-2</v>
      </c>
      <c r="F7" s="53">
        <v>0.25</v>
      </c>
      <c r="L7" s="2"/>
      <c r="M7" s="2"/>
    </row>
    <row r="8" spans="1:13">
      <c r="B8" s="63" t="s">
        <v>19</v>
      </c>
      <c r="C8" s="51">
        <v>6.19</v>
      </c>
      <c r="D8" s="51">
        <v>9.2799999999999994</v>
      </c>
      <c r="E8" s="51">
        <v>3.5000000000000003E-2</v>
      </c>
      <c r="F8" s="53">
        <v>0.25</v>
      </c>
      <c r="L8" s="2"/>
      <c r="M8" s="2"/>
    </row>
    <row r="9" spans="1:13">
      <c r="B9" s="63" t="s">
        <v>20</v>
      </c>
      <c r="C9" s="51">
        <v>6.19</v>
      </c>
      <c r="D9" s="51">
        <v>9.2799999999999994</v>
      </c>
      <c r="E9" s="51">
        <v>3.5000000000000003E-2</v>
      </c>
      <c r="F9" s="53">
        <v>0.25</v>
      </c>
      <c r="L9" s="2"/>
      <c r="M9" s="2"/>
    </row>
    <row r="10" spans="1:13">
      <c r="B10" s="63" t="s">
        <v>21</v>
      </c>
      <c r="C10" s="51">
        <v>6.92</v>
      </c>
      <c r="D10" s="51">
        <v>10.39</v>
      </c>
      <c r="E10" s="51">
        <v>3.5000000000000003E-2</v>
      </c>
      <c r="F10" s="53">
        <v>0.25</v>
      </c>
      <c r="L10" s="2"/>
      <c r="M10" s="2"/>
    </row>
    <row r="11" spans="1:13">
      <c r="B11" s="63" t="s">
        <v>22</v>
      </c>
      <c r="C11" s="51">
        <v>7.24</v>
      </c>
      <c r="D11" s="51">
        <v>10.85</v>
      </c>
      <c r="E11" s="51">
        <v>3.5000000000000003E-2</v>
      </c>
      <c r="F11" s="53">
        <v>0.25</v>
      </c>
      <c r="L11" s="2"/>
      <c r="M11" s="2"/>
    </row>
    <row r="12" spans="1:13">
      <c r="B12" s="63" t="s">
        <v>23</v>
      </c>
      <c r="C12" s="51">
        <v>7.49</v>
      </c>
      <c r="D12" s="51">
        <v>11.24</v>
      </c>
      <c r="E12" s="51">
        <v>3.5000000000000003E-2</v>
      </c>
      <c r="F12" s="53">
        <v>0.25</v>
      </c>
      <c r="L12" s="2"/>
      <c r="M12" s="2"/>
    </row>
    <row r="13" spans="1:13">
      <c r="B13" s="63" t="s">
        <v>24</v>
      </c>
      <c r="C13" s="51">
        <v>7.49</v>
      </c>
      <c r="D13" s="51">
        <v>11.24</v>
      </c>
      <c r="E13" s="51">
        <v>3.5000000000000003E-2</v>
      </c>
      <c r="F13" s="53">
        <v>0.25</v>
      </c>
      <c r="L13" s="2"/>
      <c r="M13" s="2"/>
    </row>
    <row r="14" spans="1:13" ht="15.75" thickBot="1">
      <c r="B14" s="65" t="s">
        <v>25</v>
      </c>
      <c r="C14" s="55">
        <v>7.63</v>
      </c>
      <c r="D14" s="55">
        <v>11.45</v>
      </c>
      <c r="E14" s="55">
        <v>3.5000000000000003E-2</v>
      </c>
      <c r="F14" s="56">
        <v>0.25</v>
      </c>
      <c r="L14" s="2"/>
      <c r="M14" s="2"/>
    </row>
    <row r="15" spans="1:13">
      <c r="L15" s="2"/>
      <c r="M15" s="2"/>
    </row>
    <row r="16" spans="1:13">
      <c r="B16" t="s">
        <v>26</v>
      </c>
      <c r="L16" s="2"/>
      <c r="M16" s="2"/>
    </row>
  </sheetData>
  <sheetProtection algorithmName="SHA-512" hashValue="uyLZJwMEiC2pKUrIva7zZoivl4dR/oE80BDJPIjNieYNEFjZtHwoIL+N6+tttVzn2VEl6De5pz6EfxvIOgULgg==" saltValue="soa+/NdpSiIUy7OD5tsxJA==" spinCount="100000" sheet="1" objects="1" scenario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FEEA-5977-473D-9065-D016D18B0FC2}">
  <dimension ref="A1:R21"/>
  <sheetViews>
    <sheetView topLeftCell="B3" workbookViewId="0">
      <selection activeCell="H8" sqref="H8"/>
    </sheetView>
  </sheetViews>
  <sheetFormatPr defaultRowHeight="15"/>
  <cols>
    <col min="1" max="1" width="67.5703125" customWidth="1"/>
    <col min="2" max="2" width="10.85546875" bestFit="1" customWidth="1"/>
    <col min="5" max="5" width="14" customWidth="1"/>
    <col min="6" max="6" width="16" customWidth="1"/>
    <col min="7" max="7" width="15" customWidth="1"/>
    <col min="9" max="9" width="12.140625" customWidth="1"/>
    <col min="10" max="10" width="14.140625" customWidth="1"/>
    <col min="11" max="11" width="12.85546875" customWidth="1"/>
    <col min="13" max="13" width="12.140625" customWidth="1"/>
    <col min="14" max="14" width="20.5703125" bestFit="1" customWidth="1"/>
    <col min="15" max="15" width="12.7109375" customWidth="1"/>
    <col min="16" max="16" width="15.5703125" customWidth="1"/>
  </cols>
  <sheetData>
    <row r="1" spans="1:18" ht="61.5" customHeight="1">
      <c r="A1" s="25" t="s">
        <v>332</v>
      </c>
    </row>
    <row r="2" spans="1:18" ht="39" customHeight="1">
      <c r="A2" s="25" t="s">
        <v>333</v>
      </c>
      <c r="H2" s="1"/>
      <c r="I2" s="1"/>
      <c r="J2" s="1"/>
      <c r="K2" s="1"/>
    </row>
    <row r="3" spans="1:18" ht="57">
      <c r="A3" s="25" t="s">
        <v>334</v>
      </c>
      <c r="J3" s="2"/>
      <c r="K3" s="2"/>
    </row>
    <row r="4" spans="1:18" ht="42.75">
      <c r="A4" s="25" t="s">
        <v>335</v>
      </c>
      <c r="J4" s="2"/>
      <c r="K4" s="2"/>
    </row>
    <row r="5" spans="1:18">
      <c r="J5" s="2"/>
      <c r="K5" s="2"/>
    </row>
    <row r="6" spans="1:18" ht="15.75" thickBot="1">
      <c r="J6" s="2"/>
      <c r="K6" s="2"/>
    </row>
    <row r="7" spans="1:18" ht="75">
      <c r="B7" s="61" t="s">
        <v>7</v>
      </c>
      <c r="C7" s="71" t="s">
        <v>224</v>
      </c>
      <c r="D7" s="71" t="s">
        <v>225</v>
      </c>
      <c r="E7" s="71" t="s">
        <v>336</v>
      </c>
      <c r="F7" s="62" t="s">
        <v>337</v>
      </c>
      <c r="G7" s="1"/>
      <c r="H7" s="61" t="s">
        <v>338</v>
      </c>
      <c r="I7" s="71" t="s">
        <v>339</v>
      </c>
      <c r="J7" s="62" t="s">
        <v>340</v>
      </c>
      <c r="L7" s="33" t="s">
        <v>31</v>
      </c>
      <c r="M7" s="33" t="s">
        <v>341</v>
      </c>
      <c r="N7" s="33" t="s">
        <v>342</v>
      </c>
      <c r="O7" s="34"/>
      <c r="P7" s="33" t="s">
        <v>31</v>
      </c>
      <c r="Q7" s="33" t="s">
        <v>343</v>
      </c>
      <c r="R7" s="33" t="s">
        <v>344</v>
      </c>
    </row>
    <row r="8" spans="1:18">
      <c r="A8" t="s">
        <v>345</v>
      </c>
      <c r="B8" s="63" t="s">
        <v>13</v>
      </c>
      <c r="C8" s="51">
        <v>6.63</v>
      </c>
      <c r="D8" s="51">
        <v>9.9499999999999993</v>
      </c>
      <c r="E8" s="49">
        <f>INDEX($I$7:$I$10,MATCH(DASHBOARD!$F5,$H$7:$H$10,1))</f>
        <v>0.2</v>
      </c>
      <c r="F8" s="64">
        <f>INDEX($J$7:$J$10,MATCH(DASHBOARD!$F5,$H$7:$H$10,1))</f>
        <v>0.3</v>
      </c>
      <c r="H8" s="92">
        <v>0</v>
      </c>
      <c r="I8" s="93">
        <v>0.2</v>
      </c>
      <c r="J8" s="53">
        <v>0.3</v>
      </c>
      <c r="L8" s="34" t="s">
        <v>346</v>
      </c>
      <c r="M8" s="34">
        <v>0.08</v>
      </c>
      <c r="N8" s="34">
        <v>0.12</v>
      </c>
      <c r="O8" s="34"/>
      <c r="P8" s="34" t="s">
        <v>347</v>
      </c>
      <c r="Q8" s="34">
        <v>0.14000000000000001</v>
      </c>
      <c r="R8" s="34">
        <v>0.21</v>
      </c>
    </row>
    <row r="9" spans="1:18">
      <c r="A9" t="s">
        <v>348</v>
      </c>
      <c r="B9" s="63" t="s">
        <v>15</v>
      </c>
      <c r="C9" s="51">
        <v>6.63</v>
      </c>
      <c r="D9" s="51">
        <v>9.9499999999999993</v>
      </c>
      <c r="E9" s="49">
        <f>INDEX($I$7:$I$10,MATCH(DASHBOARD!$F6,$H$7:$H$10,1))</f>
        <v>0.2</v>
      </c>
      <c r="F9" s="64">
        <f>INDEX($J$7:$J$10,MATCH(DASHBOARD!$F6,$H$7:$H$10,1))</f>
        <v>0.3</v>
      </c>
      <c r="H9" s="92">
        <v>12000</v>
      </c>
      <c r="I9" s="93">
        <v>0.36</v>
      </c>
      <c r="J9" s="53">
        <v>0.54</v>
      </c>
      <c r="L9" s="34" t="s">
        <v>349</v>
      </c>
      <c r="M9" s="34">
        <v>0.2</v>
      </c>
      <c r="N9" s="34">
        <v>0.3</v>
      </c>
      <c r="O9" s="34"/>
      <c r="P9" s="34" t="s">
        <v>346</v>
      </c>
      <c r="Q9" s="34">
        <v>0.29499999999999998</v>
      </c>
      <c r="R9" s="34">
        <v>0.4425</v>
      </c>
    </row>
    <row r="10" spans="1:18" ht="15.75" thickBot="1">
      <c r="B10" s="63" t="s">
        <v>16</v>
      </c>
      <c r="C10" s="51">
        <v>5.87</v>
      </c>
      <c r="D10" s="51">
        <v>8.81</v>
      </c>
      <c r="E10" s="49">
        <f>INDEX($I$7:$I$10,MATCH(DASHBOARD!$F7,$H$7:$H$10,1))</f>
        <v>0.2</v>
      </c>
      <c r="F10" s="64">
        <f>INDEX($J$7:$J$10,MATCH(DASHBOARD!$F7,$H$7:$H$10,1))</f>
        <v>0.3</v>
      </c>
      <c r="H10" s="94">
        <v>15000</v>
      </c>
      <c r="I10" s="95">
        <v>0.5</v>
      </c>
      <c r="J10" s="56">
        <v>0.75</v>
      </c>
      <c r="L10" s="34" t="s">
        <v>347</v>
      </c>
      <c r="M10" s="34">
        <v>0.2</v>
      </c>
      <c r="N10" s="34">
        <v>0.3</v>
      </c>
      <c r="O10" s="34"/>
      <c r="P10" s="34" t="s">
        <v>349</v>
      </c>
      <c r="Q10" s="34">
        <v>8.2000000000000003E-2</v>
      </c>
      <c r="R10" s="34">
        <v>0.123</v>
      </c>
    </row>
    <row r="11" spans="1:18">
      <c r="B11" s="63" t="s">
        <v>17</v>
      </c>
      <c r="C11" s="51">
        <v>5.87</v>
      </c>
      <c r="D11" s="51">
        <v>8.81</v>
      </c>
      <c r="E11" s="49">
        <f>INDEX($I$7:$I$10,MATCH(DASHBOARD!$F8,$H$7:$H$10,1))</f>
        <v>0.2</v>
      </c>
      <c r="F11" s="64">
        <f>INDEX($J$7:$J$10,MATCH(DASHBOARD!$F8,$H$7:$H$10,1))</f>
        <v>0.3</v>
      </c>
      <c r="H11" s="2"/>
      <c r="I11" s="2"/>
    </row>
    <row r="12" spans="1:18">
      <c r="B12" s="63" t="s">
        <v>18</v>
      </c>
      <c r="C12" s="51">
        <v>5.87</v>
      </c>
      <c r="D12" s="51">
        <v>8.81</v>
      </c>
      <c r="E12" s="49">
        <f>INDEX($I$7:$I$10,MATCH(DASHBOARD!$F9,$H$7:$H$10,1))</f>
        <v>0.2</v>
      </c>
      <c r="F12" s="64">
        <f>INDEX($J$7:$J$10,MATCH(DASHBOARD!$F9,$H$7:$H$10,1))</f>
        <v>0.3</v>
      </c>
      <c r="H12" s="2"/>
      <c r="I12" s="2"/>
    </row>
    <row r="13" spans="1:18">
      <c r="B13" s="63" t="s">
        <v>19</v>
      </c>
      <c r="C13" s="51">
        <v>6.63</v>
      </c>
      <c r="D13" s="51">
        <v>9.9499999999999993</v>
      </c>
      <c r="E13" s="49">
        <f>INDEX($I$7:$I$10,MATCH(DASHBOARD!$F10,$H$7:$H$10,1))</f>
        <v>0.2</v>
      </c>
      <c r="F13" s="64">
        <f>INDEX($J$7:$J$10,MATCH(DASHBOARD!$F10,$H$7:$H$10,1))</f>
        <v>0.3</v>
      </c>
      <c r="H13" s="2"/>
      <c r="I13" s="2"/>
      <c r="N13" t="s">
        <v>350</v>
      </c>
    </row>
    <row r="14" spans="1:18">
      <c r="B14" s="63" t="s">
        <v>20</v>
      </c>
      <c r="C14" s="51">
        <v>8.0399999999999991</v>
      </c>
      <c r="D14" s="51">
        <v>12.07</v>
      </c>
      <c r="E14" s="49">
        <f>INDEX($I$7:$I$10,MATCH(DASHBOARD!$F11,$H$7:$H$10,1))</f>
        <v>0.2</v>
      </c>
      <c r="F14" s="64">
        <f>INDEX($J$7:$J$10,MATCH(DASHBOARD!$F11,$H$7:$H$10,1))</f>
        <v>0.3</v>
      </c>
      <c r="I14" s="2"/>
      <c r="J14" s="2"/>
    </row>
    <row r="15" spans="1:18">
      <c r="B15" s="63" t="s">
        <v>21</v>
      </c>
      <c r="C15" s="51">
        <v>8.0399999999999991</v>
      </c>
      <c r="D15" s="51">
        <v>12.07</v>
      </c>
      <c r="E15" s="49">
        <f>INDEX($I$7:$I$10,MATCH(DASHBOARD!$F12,$H$7:$H$10,1))</f>
        <v>0.2</v>
      </c>
      <c r="F15" s="64">
        <f>INDEX($J$7:$J$10,MATCH(DASHBOARD!$F12,$H$7:$H$10,1))</f>
        <v>0.3</v>
      </c>
      <c r="I15" s="2"/>
      <c r="J15" s="2"/>
      <c r="L15" s="2"/>
    </row>
    <row r="16" spans="1:18">
      <c r="B16" s="63" t="s">
        <v>22</v>
      </c>
      <c r="C16" s="51">
        <v>8.0399999999999991</v>
      </c>
      <c r="D16" s="51">
        <v>12.07</v>
      </c>
      <c r="E16" s="49">
        <f>INDEX($I$7:$I$10,MATCH(DASHBOARD!$F13,$H$7:$H$10,1))</f>
        <v>0.2</v>
      </c>
      <c r="F16" s="64">
        <f>INDEX($J$7:$J$10,MATCH(DASHBOARD!$F13,$H$7:$H$10,1))</f>
        <v>0.3</v>
      </c>
      <c r="I16" s="2"/>
      <c r="J16" s="2"/>
      <c r="L16" s="2"/>
    </row>
    <row r="17" spans="2:10">
      <c r="B17" s="63" t="s">
        <v>23</v>
      </c>
      <c r="C17" s="51">
        <v>8.0399999999999991</v>
      </c>
      <c r="D17" s="51">
        <v>12.07</v>
      </c>
      <c r="E17" s="49">
        <f>INDEX($I$7:$I$10,MATCH(DASHBOARD!$F14,$H$7:$H$10,1))</f>
        <v>0.2</v>
      </c>
      <c r="F17" s="64">
        <f>INDEX($J$7:$J$10,MATCH(DASHBOARD!$F14,$H$7:$H$10,1))</f>
        <v>0.3</v>
      </c>
      <c r="I17" s="2"/>
      <c r="J17" s="2"/>
    </row>
    <row r="18" spans="2:10">
      <c r="B18" s="63" t="s">
        <v>24</v>
      </c>
      <c r="C18" s="51">
        <v>8.0399999999999991</v>
      </c>
      <c r="D18" s="51">
        <v>12.07</v>
      </c>
      <c r="E18" s="49">
        <f>INDEX($I$7:$I$10,MATCH(DASHBOARD!$F15,$H$7:$H$10,1))</f>
        <v>0.2</v>
      </c>
      <c r="F18" s="64">
        <f>INDEX($J$7:$J$10,MATCH(DASHBOARD!$F15,$H$7:$H$10,1))</f>
        <v>0.3</v>
      </c>
      <c r="I18" s="2"/>
      <c r="J18" s="2"/>
    </row>
    <row r="19" spans="2:10" ht="15.75" thickBot="1">
      <c r="B19" s="65" t="s">
        <v>25</v>
      </c>
      <c r="C19" s="55">
        <v>8.0399999999999991</v>
      </c>
      <c r="D19" s="55">
        <v>12.07</v>
      </c>
      <c r="E19" s="74">
        <f>INDEX($I$7:$I$10,MATCH(DASHBOARD!$F16,$H$7:$H$10,1))</f>
        <v>0.2</v>
      </c>
      <c r="F19" s="66">
        <f>INDEX($J$7:$J$10,MATCH(DASHBOARD!$F16,$H$7:$H$10,1))</f>
        <v>0.3</v>
      </c>
      <c r="I19" s="2"/>
      <c r="J19" s="2"/>
    </row>
    <row r="21" spans="2:10">
      <c r="B21" t="s">
        <v>26</v>
      </c>
    </row>
  </sheetData>
  <sheetProtection algorithmName="SHA-512" hashValue="lNKWaoGYzdrILcGbhB4bBqQzcBvPTeS9LD9MuEuWJM6cN+HGl3RBL3dGw5exivUVK/4aVAvXPG0TtX6kRs8Pmg==" saltValue="nV+6lbrWZaVbcBtcjICSUg==" spinCount="100000" sheet="1" objects="1" scenarios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251B4-25D4-4C9F-88B5-122F1BBA74FF}">
  <dimension ref="A1:O17"/>
  <sheetViews>
    <sheetView topLeftCell="B1" workbookViewId="0">
      <selection activeCell="K4" sqref="K4"/>
    </sheetView>
  </sheetViews>
  <sheetFormatPr defaultRowHeight="15"/>
  <cols>
    <col min="1" max="1" width="67.5703125" customWidth="1"/>
    <col min="4" max="5" width="11.140625" bestFit="1" customWidth="1"/>
    <col min="6" max="6" width="19" customWidth="1"/>
    <col min="7" max="7" width="20.7109375" customWidth="1"/>
    <col min="9" max="9" width="12.5703125" bestFit="1" customWidth="1"/>
    <col min="10" max="10" width="17" bestFit="1" customWidth="1"/>
    <col min="11" max="11" width="18.85546875" customWidth="1"/>
    <col min="12" max="12" width="20.28515625" customWidth="1"/>
    <col min="13" max="13" width="20.5703125" bestFit="1" customWidth="1"/>
    <col min="14" max="15" width="20.42578125" bestFit="1" customWidth="1"/>
    <col min="17" max="17" width="26.28515625" customWidth="1"/>
    <col min="18" max="18" width="24.7109375" customWidth="1"/>
  </cols>
  <sheetData>
    <row r="1" spans="1:15" ht="61.5" customHeight="1">
      <c r="A1" s="25" t="s">
        <v>351</v>
      </c>
    </row>
    <row r="2" spans="1:15" ht="39" customHeight="1" thickBot="1">
      <c r="A2" s="25" t="s">
        <v>333</v>
      </c>
      <c r="E2" s="1"/>
      <c r="H2" s="1"/>
      <c r="I2" s="1"/>
      <c r="J2" s="1"/>
      <c r="K2" s="1"/>
    </row>
    <row r="3" spans="1:15" ht="39.75" customHeight="1">
      <c r="C3" s="61" t="s">
        <v>7</v>
      </c>
      <c r="D3" s="71" t="s">
        <v>224</v>
      </c>
      <c r="E3" s="71" t="s">
        <v>225</v>
      </c>
      <c r="F3" s="71" t="s">
        <v>336</v>
      </c>
      <c r="G3" s="62" t="s">
        <v>337</v>
      </c>
      <c r="H3" s="1"/>
      <c r="I3" s="61" t="s">
        <v>352</v>
      </c>
      <c r="J3" s="71" t="s">
        <v>339</v>
      </c>
      <c r="K3" s="62" t="s">
        <v>340</v>
      </c>
      <c r="M3" s="33" t="s">
        <v>31</v>
      </c>
      <c r="N3" s="33" t="s">
        <v>341</v>
      </c>
      <c r="O3" s="33" t="s">
        <v>342</v>
      </c>
    </row>
    <row r="4" spans="1:15" ht="35.25" customHeight="1">
      <c r="C4" s="63" t="s">
        <v>13</v>
      </c>
      <c r="D4" s="51">
        <v>7.39</v>
      </c>
      <c r="E4" s="51">
        <v>11</v>
      </c>
      <c r="F4" s="49">
        <f>INDEX($J$3:$J$6,MATCH(DASHBOARD!$F5,$I$3:$I$6,1))</f>
        <v>0.2</v>
      </c>
      <c r="G4" s="64">
        <f>INDEX($K$3:$K$6,MATCH(DASHBOARD!$F5,$I$3:$I$6,1))</f>
        <v>0.3</v>
      </c>
      <c r="I4" s="92">
        <v>0</v>
      </c>
      <c r="J4" s="93">
        <v>0.2</v>
      </c>
      <c r="K4" s="53">
        <v>0.3</v>
      </c>
      <c r="M4" s="34" t="s">
        <v>349</v>
      </c>
      <c r="N4" s="34">
        <v>0.2</v>
      </c>
      <c r="O4" s="34">
        <v>0.3</v>
      </c>
    </row>
    <row r="5" spans="1:15">
      <c r="C5" s="63" t="s">
        <v>15</v>
      </c>
      <c r="D5" s="51">
        <v>6.52</v>
      </c>
      <c r="E5" s="51">
        <v>9</v>
      </c>
      <c r="F5" s="49">
        <f>INDEX($J$3:$J$6,MATCH(DASHBOARD!$F6,$I$3:$I$6,1))</f>
        <v>0.2</v>
      </c>
      <c r="G5" s="64">
        <f>INDEX($K$3:$K$6,MATCH(DASHBOARD!$F6,$I$3:$I$6,1))</f>
        <v>0.3</v>
      </c>
      <c r="I5" s="92">
        <v>12000</v>
      </c>
      <c r="J5" s="93">
        <v>0.36</v>
      </c>
      <c r="K5" s="53">
        <v>0.54</v>
      </c>
      <c r="M5" s="34" t="s">
        <v>347</v>
      </c>
      <c r="N5" s="34">
        <v>0.2</v>
      </c>
      <c r="O5" s="34">
        <v>0.3</v>
      </c>
    </row>
    <row r="6" spans="1:15" ht="15.75" thickBot="1">
      <c r="A6" t="s">
        <v>345</v>
      </c>
      <c r="C6" s="63" t="s">
        <v>16</v>
      </c>
      <c r="D6" s="51">
        <v>6.52</v>
      </c>
      <c r="E6" s="51">
        <v>9.7899999999999991</v>
      </c>
      <c r="F6" s="49">
        <f>INDEX($J$3:$J$6,MATCH(DASHBOARD!$F7,$I$3:$I$6,1))</f>
        <v>0.2</v>
      </c>
      <c r="G6" s="64">
        <f>INDEX($K$3:$K$6,MATCH(DASHBOARD!$F7,$I$3:$I$6,1))</f>
        <v>0.3</v>
      </c>
      <c r="I6" s="94">
        <v>15000</v>
      </c>
      <c r="J6" s="95">
        <v>0.5</v>
      </c>
      <c r="K6" s="56">
        <v>0.75</v>
      </c>
    </row>
    <row r="7" spans="1:15">
      <c r="A7" t="s">
        <v>348</v>
      </c>
      <c r="C7" s="63" t="s">
        <v>17</v>
      </c>
      <c r="D7" s="51">
        <v>6.52</v>
      </c>
      <c r="E7" s="51">
        <v>9.7899999999999991</v>
      </c>
      <c r="F7" s="49">
        <f>INDEX($J$3:$J$6,MATCH(DASHBOARD!$F8,$I$3:$I$6,1))</f>
        <v>0.2</v>
      </c>
      <c r="G7" s="64">
        <f>INDEX($K$3:$K$6,MATCH(DASHBOARD!$F8,$I$3:$I$6,1))</f>
        <v>0.3</v>
      </c>
      <c r="J7" s="2"/>
      <c r="K7" s="2"/>
      <c r="M7" t="s">
        <v>350</v>
      </c>
    </row>
    <row r="8" spans="1:15">
      <c r="C8" s="63" t="s">
        <v>18</v>
      </c>
      <c r="D8" s="51">
        <v>6.52</v>
      </c>
      <c r="E8" s="51">
        <v>9.7899999999999991</v>
      </c>
      <c r="F8" s="49">
        <f>INDEX($J$3:$J$6,MATCH(DASHBOARD!$F9,$I$3:$I$6,1))</f>
        <v>0.2</v>
      </c>
      <c r="G8" s="64">
        <f>INDEX($K$3:$K$6,MATCH(DASHBOARD!$F9,$I$3:$I$6,1))</f>
        <v>0.3</v>
      </c>
      <c r="J8" s="2"/>
      <c r="K8" s="2"/>
    </row>
    <row r="9" spans="1:15">
      <c r="C9" s="63" t="s">
        <v>19</v>
      </c>
      <c r="D9" s="51">
        <v>7.39</v>
      </c>
      <c r="E9" s="51">
        <v>11.09</v>
      </c>
      <c r="F9" s="49">
        <f>INDEX($J$3:$J$6,MATCH(DASHBOARD!$F10,$I$3:$I$6,1))</f>
        <v>0.2</v>
      </c>
      <c r="G9" s="64">
        <f>INDEX($K$3:$K$6,MATCH(DASHBOARD!$F10,$I$3:$I$6,1))</f>
        <v>0.3</v>
      </c>
      <c r="J9" s="2"/>
      <c r="K9" s="2"/>
    </row>
    <row r="10" spans="1:15">
      <c r="C10" s="63" t="s">
        <v>20</v>
      </c>
      <c r="D10" s="51">
        <v>7.39</v>
      </c>
      <c r="E10" s="51">
        <v>11.09</v>
      </c>
      <c r="F10" s="49">
        <f>INDEX($J$3:$J$6,MATCH(DASHBOARD!$F11,$I$3:$I$6,1))</f>
        <v>0.2</v>
      </c>
      <c r="G10" s="64">
        <f>INDEX($K$3:$K$6,MATCH(DASHBOARD!$F11,$I$3:$I$6,1))</f>
        <v>0.3</v>
      </c>
      <c r="J10" s="2"/>
      <c r="K10" s="2"/>
    </row>
    <row r="11" spans="1:15">
      <c r="C11" s="63" t="s">
        <v>21</v>
      </c>
      <c r="D11" s="51">
        <v>7.39</v>
      </c>
      <c r="E11" s="51">
        <v>11.09</v>
      </c>
      <c r="F11" s="49">
        <f>INDEX($J$3:$J$6,MATCH(DASHBOARD!$F12,$I$3:$I$6,1))</f>
        <v>0.2</v>
      </c>
      <c r="G11" s="64">
        <f>INDEX($K$3:$K$6,MATCH(DASHBOARD!$F12,$I$3:$I$6,1))</f>
        <v>0.3</v>
      </c>
      <c r="J11" s="2"/>
      <c r="K11" s="2"/>
    </row>
    <row r="12" spans="1:15">
      <c r="C12" s="63" t="s">
        <v>22</v>
      </c>
      <c r="D12" s="51">
        <v>7.39</v>
      </c>
      <c r="E12" s="51">
        <v>11.09</v>
      </c>
      <c r="F12" s="49">
        <f>INDEX($J$3:$J$6,MATCH(DASHBOARD!$F13,$I$3:$I$6,1))</f>
        <v>0.2</v>
      </c>
      <c r="G12" s="64">
        <f>INDEX($K$3:$K$6,MATCH(DASHBOARD!$F13,$I$3:$I$6,1))</f>
        <v>0.3</v>
      </c>
      <c r="J12" s="2"/>
      <c r="K12" s="2"/>
    </row>
    <row r="13" spans="1:15">
      <c r="C13" s="63" t="s">
        <v>23</v>
      </c>
      <c r="D13" s="51">
        <v>7.39</v>
      </c>
      <c r="E13" s="51">
        <v>11.09</v>
      </c>
      <c r="F13" s="49">
        <f>INDEX($J$3:$J$6,MATCH(DASHBOARD!$F14,$I$3:$I$6,1))</f>
        <v>0.2</v>
      </c>
      <c r="G13" s="64">
        <f>INDEX($K$3:$K$6,MATCH(DASHBOARD!$F14,$I$3:$I$6,1))</f>
        <v>0.3</v>
      </c>
      <c r="J13" s="2"/>
      <c r="K13" s="2"/>
    </row>
    <row r="14" spans="1:15">
      <c r="C14" s="63" t="s">
        <v>24</v>
      </c>
      <c r="D14" s="51">
        <v>7.39</v>
      </c>
      <c r="E14" s="51">
        <v>11.09</v>
      </c>
      <c r="F14" s="49">
        <f>INDEX($J$3:$J$6,MATCH(DASHBOARD!$F15,$I$3:$I$6,1))</f>
        <v>0.2</v>
      </c>
      <c r="G14" s="64">
        <f>INDEX($K$3:$K$6,MATCH(DASHBOARD!$F15,$I$3:$I$6,1))</f>
        <v>0.3</v>
      </c>
      <c r="J14" s="2"/>
      <c r="K14" s="2"/>
    </row>
    <row r="15" spans="1:15" ht="15.75" thickBot="1">
      <c r="C15" s="65" t="s">
        <v>25</v>
      </c>
      <c r="D15" s="55">
        <v>7.39</v>
      </c>
      <c r="E15" s="55">
        <v>11.09</v>
      </c>
      <c r="F15" s="74">
        <f>INDEX($J$3:$J$6,MATCH(DASHBOARD!$F16,$I$3:$I$6,1))</f>
        <v>0.2</v>
      </c>
      <c r="G15" s="66">
        <f>INDEX($K$3:$K$6,MATCH(DASHBOARD!$F16,$I$3:$I$6,1))</f>
        <v>0.3</v>
      </c>
      <c r="J15" s="2"/>
      <c r="K15" s="2"/>
    </row>
    <row r="16" spans="1:15">
      <c r="J16" s="2"/>
      <c r="K16" s="2"/>
      <c r="L16" s="2"/>
    </row>
    <row r="17" spans="3:3">
      <c r="C17" t="s">
        <v>26</v>
      </c>
    </row>
  </sheetData>
  <sheetProtection algorithmName="SHA-512" hashValue="IcnUYy5D+pOaNKRCg7J+UscGDjoFnqMPoumZnNfWs9XKmvFYy82u2n5siMyDxJUL5zgsxxSaTaYhsePyKC0giA==" saltValue="TEzF4Y7iVF+a+ZiiKeXs1A==" spinCount="100000"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97FC9-9373-473A-AF17-4EE9D75BA678}">
  <dimension ref="A1:N17"/>
  <sheetViews>
    <sheetView workbookViewId="0">
      <selection activeCell="N4" sqref="N4"/>
    </sheetView>
  </sheetViews>
  <sheetFormatPr defaultRowHeight="15"/>
  <cols>
    <col min="1" max="1" width="67.5703125" customWidth="1"/>
    <col min="7" max="7" width="15" customWidth="1"/>
    <col min="8" max="8" width="12.85546875" customWidth="1"/>
    <col min="10" max="10" width="24.7109375" bestFit="1" customWidth="1"/>
    <col min="11" max="11" width="10.7109375" bestFit="1" customWidth="1"/>
    <col min="12" max="12" width="8.140625" customWidth="1"/>
    <col min="13" max="13" width="34.7109375" bestFit="1" customWidth="1"/>
    <col min="14" max="14" width="9.5703125" bestFit="1" customWidth="1"/>
    <col min="15" max="15" width="34.42578125" customWidth="1"/>
  </cols>
  <sheetData>
    <row r="1" spans="1:14" ht="61.5" customHeight="1">
      <c r="A1" s="25" t="s">
        <v>353</v>
      </c>
    </row>
    <row r="2" spans="1:14" ht="39" customHeight="1" thickBot="1">
      <c r="A2" s="25" t="s">
        <v>354</v>
      </c>
      <c r="E2" s="1"/>
      <c r="H2" s="1"/>
      <c r="I2" s="1"/>
      <c r="J2" s="1"/>
      <c r="K2" s="1"/>
    </row>
    <row r="3" spans="1:14" ht="45">
      <c r="C3" s="61" t="s">
        <v>7</v>
      </c>
      <c r="D3" s="71" t="s">
        <v>327</v>
      </c>
      <c r="E3" s="71" t="s">
        <v>224</v>
      </c>
      <c r="F3" s="71" t="s">
        <v>225</v>
      </c>
      <c r="G3" s="71" t="s">
        <v>340</v>
      </c>
      <c r="H3" s="62" t="s">
        <v>355</v>
      </c>
      <c r="I3" s="1"/>
      <c r="J3" s="98" t="s">
        <v>356</v>
      </c>
      <c r="K3" s="58" t="s">
        <v>357</v>
      </c>
      <c r="M3" s="98" t="s">
        <v>358</v>
      </c>
      <c r="N3" s="58" t="s">
        <v>251</v>
      </c>
    </row>
    <row r="4" spans="1:14">
      <c r="C4" s="63" t="s">
        <v>13</v>
      </c>
      <c r="D4" s="67">
        <v>0.53076999999999996</v>
      </c>
      <c r="E4" s="67">
        <v>2.5093000000000001</v>
      </c>
      <c r="F4" s="67">
        <v>4.5167000000000002</v>
      </c>
      <c r="G4" s="49">
        <f>INDEX($K$3:$K$14, MATCH(DASHBOARD!$C5*DASHBOARD!$E5*0.01,$J$3:$J$14,1))</f>
        <v>0.69</v>
      </c>
      <c r="H4" s="96">
        <f>INDEX($N$3:$N$7, MATCH((DASHBOARD!$E5+DASHBOARD!$D5),$M$3:$M$7,1))</f>
        <v>0.02</v>
      </c>
      <c r="J4" s="52">
        <v>0</v>
      </c>
      <c r="K4" s="53">
        <v>0.45</v>
      </c>
      <c r="M4" s="52">
        <v>0</v>
      </c>
      <c r="N4" s="53">
        <v>0</v>
      </c>
    </row>
    <row r="5" spans="1:14">
      <c r="A5" t="s">
        <v>345</v>
      </c>
      <c r="C5" s="63" t="s">
        <v>15</v>
      </c>
      <c r="D5" s="67">
        <v>0.53076999999999996</v>
      </c>
      <c r="E5" s="67">
        <v>2.5093000000000001</v>
      </c>
      <c r="F5" s="67">
        <v>4.5167000000000002</v>
      </c>
      <c r="G5" s="49">
        <f>INDEX($K$3:$K$14, MATCH(DASHBOARD!$C6*DASHBOARD!$E6*0.01,$J$3:$J$14,1))</f>
        <v>0.69</v>
      </c>
      <c r="H5" s="96">
        <f>INDEX($N$3:$N$7, MATCH((DASHBOARD!$E6+DASHBOARD!$D6),$M$3:$M$7,1))</f>
        <v>0.02</v>
      </c>
      <c r="J5" s="92">
        <v>2401</v>
      </c>
      <c r="K5" s="53">
        <v>0.51</v>
      </c>
      <c r="M5" s="92">
        <v>7.1</v>
      </c>
      <c r="N5" s="99">
        <v>0.02</v>
      </c>
    </row>
    <row r="6" spans="1:14">
      <c r="C6" s="63" t="s">
        <v>16</v>
      </c>
      <c r="D6" s="67">
        <v>0.53076999999999996</v>
      </c>
      <c r="E6" s="67">
        <v>2.5093000000000001</v>
      </c>
      <c r="F6" s="67">
        <v>4.5167000000000002</v>
      </c>
      <c r="G6" s="49">
        <f>INDEX($K$3:$K$14, MATCH(DASHBOARD!$C7*DASHBOARD!$E7*0.01,$J$3:$J$14,1))</f>
        <v>0.69</v>
      </c>
      <c r="H6" s="96">
        <f>INDEX($N$3:$N$7, MATCH((DASHBOARD!$E7+DASHBOARD!$D7),$M$3:$M$7,1))</f>
        <v>0.02</v>
      </c>
      <c r="J6" s="92">
        <v>3001</v>
      </c>
      <c r="K6" s="53">
        <v>0.69</v>
      </c>
      <c r="M6" s="52">
        <v>7.4</v>
      </c>
      <c r="N6" s="53">
        <v>2.5000000000000001E-2</v>
      </c>
    </row>
    <row r="7" spans="1:14" ht="15.75" thickBot="1">
      <c r="C7" s="63" t="s">
        <v>17</v>
      </c>
      <c r="D7" s="67">
        <v>0.53076999999999996</v>
      </c>
      <c r="E7" s="67">
        <v>2.5093000000000001</v>
      </c>
      <c r="F7" s="67">
        <v>4.5167000000000002</v>
      </c>
      <c r="G7" s="49">
        <f>INDEX($K$3:$K$14, MATCH(DASHBOARD!$C8*DASHBOARD!$E8*0.01,$J$3:$J$14,1))</f>
        <v>0.69</v>
      </c>
      <c r="H7" s="96">
        <f>INDEX($N$3:$N$7, MATCH((DASHBOARD!$E8+DASHBOARD!$D8),$M$3:$M$7,1))</f>
        <v>0.02</v>
      </c>
      <c r="J7" s="92">
        <v>3601</v>
      </c>
      <c r="K7" s="53">
        <v>0.78</v>
      </c>
      <c r="M7" s="94">
        <v>8</v>
      </c>
      <c r="N7" s="100">
        <v>0.05</v>
      </c>
    </row>
    <row r="8" spans="1:14">
      <c r="C8" s="63" t="s">
        <v>18</v>
      </c>
      <c r="D8" s="67">
        <v>0.53076999999999996</v>
      </c>
      <c r="E8" s="67">
        <v>2.5093000000000001</v>
      </c>
      <c r="F8" s="67">
        <v>4.5167000000000002</v>
      </c>
      <c r="G8" s="49">
        <f>INDEX($K$3:$K$14, MATCH(DASHBOARD!$C9*DASHBOARD!$E9*0.01,$J$3:$J$14,1))</f>
        <v>0.69</v>
      </c>
      <c r="H8" s="96">
        <f>INDEX($N$3:$N$7, MATCH((DASHBOARD!$E9+DASHBOARD!$D9),$M$3:$M$7,1))</f>
        <v>0.02</v>
      </c>
      <c r="J8" s="92">
        <v>4201</v>
      </c>
      <c r="K8" s="53">
        <v>0.86</v>
      </c>
    </row>
    <row r="9" spans="1:14">
      <c r="C9" s="63" t="s">
        <v>19</v>
      </c>
      <c r="D9" s="67">
        <v>0.53076999999999996</v>
      </c>
      <c r="E9" s="67">
        <v>2.5093000000000001</v>
      </c>
      <c r="F9" s="67">
        <v>4.5167000000000002</v>
      </c>
      <c r="G9" s="49">
        <f>INDEX($K$3:$K$14, MATCH(DASHBOARD!$C10*DASHBOARD!$E10*0.01,$J$3:$J$14,1))</f>
        <v>0.69</v>
      </c>
      <c r="H9" s="96">
        <f>INDEX($N$3:$N$7, MATCH((DASHBOARD!$E10+DASHBOARD!$D10),$M$3:$M$7,1))</f>
        <v>0.02</v>
      </c>
      <c r="J9" s="92">
        <v>4801</v>
      </c>
      <c r="K9" s="53">
        <v>1.1399999999999999</v>
      </c>
    </row>
    <row r="10" spans="1:14">
      <c r="C10" s="63" t="s">
        <v>20</v>
      </c>
      <c r="D10" s="67">
        <v>0.57577</v>
      </c>
      <c r="E10" s="67">
        <v>2.5093000000000001</v>
      </c>
      <c r="F10" s="67">
        <v>4.5167000000000002</v>
      </c>
      <c r="G10" s="49">
        <f>INDEX($K$3:$K$14, MATCH(DASHBOARD!$C11*DASHBOARD!$E11*0.01,$J$3:$J$14,1))</f>
        <v>0.69</v>
      </c>
      <c r="H10" s="96">
        <f>INDEX($N$3:$N$7, MATCH((DASHBOARD!$E11+DASHBOARD!$D11),$M$3:$M$7,1))</f>
        <v>0.02</v>
      </c>
      <c r="J10" s="92">
        <v>5401</v>
      </c>
      <c r="K10" s="53">
        <v>1.22</v>
      </c>
    </row>
    <row r="11" spans="1:14">
      <c r="C11" s="63" t="s">
        <v>21</v>
      </c>
      <c r="D11" s="67">
        <v>0.57577</v>
      </c>
      <c r="E11" s="67">
        <v>2.5093000000000001</v>
      </c>
      <c r="F11" s="67">
        <v>4.5167000000000002</v>
      </c>
      <c r="G11" s="49">
        <f>INDEX($K$3:$K$14, MATCH(DASHBOARD!$C12*DASHBOARD!$E12*0.01,$J$3:$J$14,1))</f>
        <v>0.69</v>
      </c>
      <c r="H11" s="96">
        <f>INDEX($N$3:$N$7, MATCH((DASHBOARD!$E12+DASHBOARD!$D12),$M$3:$M$7,1))</f>
        <v>0.02</v>
      </c>
      <c r="J11" s="92">
        <v>6001</v>
      </c>
      <c r="K11" s="53">
        <v>1.3</v>
      </c>
    </row>
    <row r="12" spans="1:14">
      <c r="C12" s="63" t="s">
        <v>22</v>
      </c>
      <c r="D12" s="67">
        <v>0.57577</v>
      </c>
      <c r="E12" s="67">
        <v>2.5093000000000001</v>
      </c>
      <c r="F12" s="67">
        <v>4.5167000000000002</v>
      </c>
      <c r="G12" s="49">
        <f>INDEX($K$3:$K$14, MATCH(DASHBOARD!$C13*DASHBOARD!$E13*0.01,$J$3:$J$14,1))</f>
        <v>0.69</v>
      </c>
      <c r="H12" s="96">
        <f>INDEX($N$3:$N$7, MATCH((DASHBOARD!$E13+DASHBOARD!$D13),$M$3:$M$7,1))</f>
        <v>0.02</v>
      </c>
      <c r="J12" s="92">
        <v>6601</v>
      </c>
      <c r="K12" s="53">
        <v>1.49</v>
      </c>
    </row>
    <row r="13" spans="1:14">
      <c r="C13" s="63" t="s">
        <v>23</v>
      </c>
      <c r="D13" s="67">
        <v>0.57577</v>
      </c>
      <c r="E13" s="67">
        <v>2.5093000000000001</v>
      </c>
      <c r="F13" s="67">
        <v>4.5167000000000002</v>
      </c>
      <c r="G13" s="49">
        <f>INDEX($K$3:$K$14, MATCH(DASHBOARD!$C14*DASHBOARD!$E14*0.01,$J$3:$J$14,1))</f>
        <v>0.69</v>
      </c>
      <c r="H13" s="96">
        <f>INDEX($N$3:$N$7, MATCH((DASHBOARD!$E14+DASHBOARD!$D14),$M$3:$M$7,1))</f>
        <v>0.02</v>
      </c>
      <c r="J13" s="92">
        <v>7201</v>
      </c>
      <c r="K13" s="53">
        <v>1.57</v>
      </c>
    </row>
    <row r="14" spans="1:14" ht="15.75" thickBot="1">
      <c r="C14" s="63" t="s">
        <v>24</v>
      </c>
      <c r="D14" s="67">
        <v>0.57577</v>
      </c>
      <c r="E14" s="67">
        <v>2.5093000000000001</v>
      </c>
      <c r="F14" s="67">
        <v>4.5167000000000002</v>
      </c>
      <c r="G14" s="49">
        <f>INDEX($K$3:$K$14, MATCH(DASHBOARD!$C15*DASHBOARD!$E15*0.01,$J$3:$J$14,1))</f>
        <v>0.69</v>
      </c>
      <c r="H14" s="96">
        <f>INDEX($N$3:$N$7, MATCH((DASHBOARD!$E15+DASHBOARD!$D15),$M$3:$M$7,1))</f>
        <v>0.02</v>
      </c>
      <c r="J14" s="94">
        <v>7801</v>
      </c>
      <c r="K14" s="56">
        <v>1.85</v>
      </c>
    </row>
    <row r="15" spans="1:14" ht="15.75" thickBot="1">
      <c r="C15" s="65" t="s">
        <v>25</v>
      </c>
      <c r="D15" s="69">
        <v>0.57577</v>
      </c>
      <c r="E15" s="69">
        <v>2.5093000000000001</v>
      </c>
      <c r="F15" s="69">
        <v>4.5167000000000002</v>
      </c>
      <c r="G15" s="74">
        <f>INDEX($K$3:$K$14, MATCH(DASHBOARD!$C16*DASHBOARD!$E16*0.01,$J$3:$J$14,1))</f>
        <v>0.69</v>
      </c>
      <c r="H15" s="97">
        <f>INDEX($N$3:$N$7, MATCH((DASHBOARD!$E16+DASHBOARD!$D16),$M$3:$M$7,1))</f>
        <v>0.02</v>
      </c>
      <c r="K15" s="2"/>
    </row>
    <row r="16" spans="1:14">
      <c r="J16" s="2"/>
      <c r="K16" s="2"/>
    </row>
    <row r="17" spans="3:3">
      <c r="C17" t="s">
        <v>26</v>
      </c>
    </row>
  </sheetData>
  <sheetProtection algorithmName="SHA-512" hashValue="14yZLicpwnBLQ18hLuZxXOAg/NzlqSWYqU/eNw04eixeCU5Vo4AXCMUcE248dsrzZP/lbNVZpMndYR2uPlhKKw==" saltValue="0dwBvQxTDBEPCvLfMxx4xQ==" spinCount="100000" sheet="1" objects="1" scenarios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66363-7D49-4736-8E31-968BEDEC6A5E}">
  <dimension ref="A1:L16"/>
  <sheetViews>
    <sheetView workbookViewId="0">
      <selection activeCell="J3" sqref="J3"/>
    </sheetView>
  </sheetViews>
  <sheetFormatPr defaultRowHeight="15"/>
  <cols>
    <col min="1" max="1" width="67.5703125" customWidth="1"/>
    <col min="3" max="4" width="11.140625" bestFit="1" customWidth="1"/>
    <col min="5" max="5" width="18.85546875" customWidth="1"/>
    <col min="6" max="6" width="35.42578125" customWidth="1"/>
    <col min="7" max="7" width="15" customWidth="1"/>
    <col min="8" max="8" width="20.85546875" bestFit="1" customWidth="1"/>
    <col min="9" max="9" width="19.42578125" bestFit="1" customWidth="1"/>
    <col min="10" max="10" width="18" bestFit="1" customWidth="1"/>
  </cols>
  <sheetData>
    <row r="1" spans="1:12" ht="61.5" customHeight="1" thickBot="1">
      <c r="A1" s="25" t="s">
        <v>359</v>
      </c>
    </row>
    <row r="2" spans="1:12" ht="39" customHeight="1">
      <c r="A2" s="25" t="s">
        <v>360</v>
      </c>
      <c r="B2" s="61" t="s">
        <v>7</v>
      </c>
      <c r="C2" s="71" t="s">
        <v>224</v>
      </c>
      <c r="D2" s="71" t="s">
        <v>225</v>
      </c>
      <c r="E2" s="71" t="s">
        <v>361</v>
      </c>
      <c r="F2" s="62" t="s">
        <v>362</v>
      </c>
      <c r="H2" s="57" t="s">
        <v>352</v>
      </c>
      <c r="I2" s="60" t="s">
        <v>239</v>
      </c>
      <c r="J2" s="58" t="s">
        <v>240</v>
      </c>
      <c r="K2" s="1"/>
    </row>
    <row r="3" spans="1:12">
      <c r="B3" s="63" t="s">
        <v>13</v>
      </c>
      <c r="C3" s="51">
        <v>8.0399999999999991</v>
      </c>
      <c r="D3" s="51">
        <v>12.05</v>
      </c>
      <c r="E3" s="101">
        <f>INDEX($I$2:$I$4,MATCH(DASHBOARD!$F5,$H$2:$H$4))</f>
        <v>0.44</v>
      </c>
      <c r="F3" s="102">
        <f>INDEX($J$2:$J$4,MATCH(DASHBOARD!$F5,$H$2:$H$4))</f>
        <v>0.66</v>
      </c>
      <c r="H3" s="52">
        <v>0</v>
      </c>
      <c r="I3" s="51">
        <v>0.44</v>
      </c>
      <c r="J3" s="99">
        <v>0.66</v>
      </c>
      <c r="K3" s="2"/>
    </row>
    <row r="4" spans="1:12" ht="15.75" thickBot="1">
      <c r="B4" s="63" t="s">
        <v>15</v>
      </c>
      <c r="C4" s="51">
        <v>7</v>
      </c>
      <c r="D4" s="51">
        <v>10.5</v>
      </c>
      <c r="E4" s="101">
        <f>INDEX($I$2:$I$4,MATCH(DASHBOARD!$F6,$H$2:$H$4))</f>
        <v>0.44</v>
      </c>
      <c r="F4" s="102">
        <f>INDEX($J$2:$J$4,MATCH(DASHBOARD!$F6,$H$2:$H$4))</f>
        <v>0.66</v>
      </c>
      <c r="H4" s="54">
        <v>23000</v>
      </c>
      <c r="I4" s="55">
        <v>0.5</v>
      </c>
      <c r="J4" s="100">
        <v>0.75</v>
      </c>
      <c r="K4" s="2"/>
    </row>
    <row r="5" spans="1:12">
      <c r="B5" s="63" t="s">
        <v>16</v>
      </c>
      <c r="C5" s="51">
        <v>6.29</v>
      </c>
      <c r="D5" s="51">
        <v>9.44</v>
      </c>
      <c r="E5" s="101">
        <f>INDEX($I$2:$I$4,MATCH(DASHBOARD!$F7,$H$2:$H$4))</f>
        <v>0.44</v>
      </c>
      <c r="F5" s="102">
        <f>INDEX($J$2:$J$4,MATCH(DASHBOARD!$F7,$H$2:$H$4))</f>
        <v>0.66</v>
      </c>
      <c r="K5" s="2"/>
    </row>
    <row r="6" spans="1:12">
      <c r="B6" s="63" t="s">
        <v>17</v>
      </c>
      <c r="C6" s="51">
        <v>6.29</v>
      </c>
      <c r="D6" s="51">
        <v>9.44</v>
      </c>
      <c r="E6" s="101">
        <f>INDEX($I$2:$I$4,MATCH(DASHBOARD!$F8,$H$2:$H$4))</f>
        <v>0.44</v>
      </c>
      <c r="F6" s="102">
        <f>INDEX($J$2:$J$4,MATCH(DASHBOARD!$F8,$H$2:$H$4))</f>
        <v>0.66</v>
      </c>
      <c r="J6" s="2"/>
      <c r="K6" s="2"/>
    </row>
    <row r="7" spans="1:12">
      <c r="B7" s="63" t="s">
        <v>18</v>
      </c>
      <c r="C7" s="51">
        <v>6.29</v>
      </c>
      <c r="D7" s="51">
        <v>9.44</v>
      </c>
      <c r="E7" s="101">
        <f>INDEX($I$2:$I$4,MATCH(DASHBOARD!$F9,$H$2:$H$4))</f>
        <v>0.44</v>
      </c>
      <c r="F7" s="102">
        <f>INDEX($J$2:$J$4,MATCH(DASHBOARD!$F9,$H$2:$H$4))</f>
        <v>0.66</v>
      </c>
      <c r="J7" s="2"/>
      <c r="K7" s="2"/>
    </row>
    <row r="8" spans="1:12">
      <c r="A8" t="s">
        <v>345</v>
      </c>
      <c r="B8" s="63" t="s">
        <v>19</v>
      </c>
      <c r="C8" s="51">
        <v>7</v>
      </c>
      <c r="D8" s="51">
        <v>10.5</v>
      </c>
      <c r="E8" s="101">
        <f>INDEX($I$2:$I$4,MATCH(DASHBOARD!$F10,$H$2:$H$4))</f>
        <v>0.44</v>
      </c>
      <c r="F8" s="102">
        <f>INDEX($J$2:$J$4,MATCH(DASHBOARD!$F10,$H$2:$H$4))</f>
        <v>0.66</v>
      </c>
      <c r="J8" s="2"/>
      <c r="K8" s="2"/>
    </row>
    <row r="9" spans="1:12">
      <c r="B9" s="63" t="s">
        <v>20</v>
      </c>
      <c r="C9" s="51">
        <v>7</v>
      </c>
      <c r="D9" s="51">
        <v>10.5</v>
      </c>
      <c r="E9" s="101">
        <f>INDEX($I$2:$I$4,MATCH(DASHBOARD!$F11,$H$2:$H$4))</f>
        <v>0.44</v>
      </c>
      <c r="F9" s="102">
        <f>INDEX($J$2:$J$4,MATCH(DASHBOARD!$F11,$H$2:$H$4))</f>
        <v>0.66</v>
      </c>
      <c r="J9" s="2"/>
      <c r="K9" s="2"/>
    </row>
    <row r="10" spans="1:12">
      <c r="B10" s="63" t="s">
        <v>21</v>
      </c>
      <c r="C10" s="51">
        <v>8.0399999999999991</v>
      </c>
      <c r="D10" s="51">
        <v>12.05</v>
      </c>
      <c r="E10" s="101">
        <f>INDEX($I$2:$I$4,MATCH(DASHBOARD!$F12,$H$2:$H$4))</f>
        <v>0.44</v>
      </c>
      <c r="F10" s="102">
        <f>INDEX($J$2:$J$4,MATCH(DASHBOARD!$F12,$H$2:$H$4))</f>
        <v>0.66</v>
      </c>
      <c r="J10" s="2"/>
      <c r="K10" s="2"/>
    </row>
    <row r="11" spans="1:12">
      <c r="B11" s="63" t="s">
        <v>22</v>
      </c>
      <c r="C11" s="51">
        <v>8.0399999999999991</v>
      </c>
      <c r="D11" s="51">
        <v>12.05</v>
      </c>
      <c r="E11" s="101">
        <f>INDEX($I$2:$I$4,MATCH(DASHBOARD!$F13,$H$2:$H$4))</f>
        <v>0.44</v>
      </c>
      <c r="F11" s="102">
        <f>INDEX($J$2:$J$4,MATCH(DASHBOARD!$F13,$H$2:$H$4))</f>
        <v>0.66</v>
      </c>
      <c r="J11" s="2"/>
      <c r="K11" s="2"/>
    </row>
    <row r="12" spans="1:12">
      <c r="B12" s="63" t="s">
        <v>23</v>
      </c>
      <c r="C12" s="51">
        <v>8.0399999999999991</v>
      </c>
      <c r="D12" s="51">
        <v>12.05</v>
      </c>
      <c r="E12" s="101">
        <f>INDEX($I$2:$I$4,MATCH(DASHBOARD!$F14,$H$2:$H$4))</f>
        <v>0.44</v>
      </c>
      <c r="F12" s="102">
        <f>INDEX($J$2:$J$4,MATCH(DASHBOARD!$F14,$H$2:$H$4))</f>
        <v>0.66</v>
      </c>
      <c r="J12" s="2"/>
      <c r="K12" s="2"/>
    </row>
    <row r="13" spans="1:12">
      <c r="B13" s="63" t="s">
        <v>24</v>
      </c>
      <c r="C13" s="51">
        <v>8.0399999999999991</v>
      </c>
      <c r="D13" s="51">
        <v>12.05</v>
      </c>
      <c r="E13" s="101">
        <f>INDEX($I$2:$I$4,MATCH(DASHBOARD!$F15,$H$2:$H$4))</f>
        <v>0.44</v>
      </c>
      <c r="F13" s="102">
        <f>INDEX($J$2:$J$4,MATCH(DASHBOARD!$F15,$H$2:$H$4))</f>
        <v>0.66</v>
      </c>
      <c r="J13" s="2"/>
      <c r="K13" s="2"/>
    </row>
    <row r="14" spans="1:12" ht="15.75" thickBot="1">
      <c r="B14" s="65" t="s">
        <v>25</v>
      </c>
      <c r="C14" s="55">
        <v>8.0399999999999991</v>
      </c>
      <c r="D14" s="55">
        <v>12.05</v>
      </c>
      <c r="E14" s="103">
        <f>INDEX($I$2:$I$4,MATCH(DASHBOARD!$F16,$H$2:$H$4))</f>
        <v>0.44</v>
      </c>
      <c r="F14" s="104">
        <f>INDEX($J$2:$J$4,MATCH(DASHBOARD!$F16,$H$2:$H$4))</f>
        <v>0.66</v>
      </c>
      <c r="J14" s="2"/>
      <c r="K14" s="2"/>
    </row>
    <row r="15" spans="1:12">
      <c r="K15" s="2"/>
      <c r="L15" s="2"/>
    </row>
    <row r="16" spans="1:12">
      <c r="B16" t="s">
        <v>26</v>
      </c>
      <c r="J16" s="2"/>
      <c r="K16" s="2"/>
      <c r="L16" s="2"/>
    </row>
  </sheetData>
  <sheetProtection algorithmName="SHA-512" hashValue="wlX3AVdR7K8z82jIV+/CtkhLootfA1FZtCPT4WaOmh+fAQlpNdu5O2QjX0xgn5nLUFX0g99DAAM7jo3bpdN/2A==" saltValue="bFo8hCqBzco3N19fB56uvg==" spinCount="100000"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4D1B-4AF3-4ED2-BDD5-50D50DB1594D}">
  <dimension ref="A1:L16"/>
  <sheetViews>
    <sheetView workbookViewId="0">
      <selection activeCell="C3" sqref="C3"/>
    </sheetView>
  </sheetViews>
  <sheetFormatPr defaultRowHeight="15"/>
  <cols>
    <col min="1" max="1" width="67.5703125" customWidth="1"/>
    <col min="3" max="3" width="16" customWidth="1"/>
    <col min="4" max="4" width="17.85546875" customWidth="1"/>
    <col min="5" max="5" width="16.5703125" customWidth="1"/>
    <col min="6" max="6" width="17.42578125" customWidth="1"/>
    <col min="7" max="7" width="15" customWidth="1"/>
    <col min="8" max="8" width="26.42578125" bestFit="1" customWidth="1"/>
    <col min="9" max="9" width="9.5703125" bestFit="1" customWidth="1"/>
    <col min="11" max="11" width="26.42578125" customWidth="1"/>
  </cols>
  <sheetData>
    <row r="1" spans="1:12" ht="61.5" customHeight="1" thickBot="1">
      <c r="A1" s="29" t="s">
        <v>363</v>
      </c>
    </row>
    <row r="2" spans="1:12" ht="39" customHeight="1">
      <c r="A2" s="25"/>
      <c r="B2" s="61" t="s">
        <v>7</v>
      </c>
      <c r="C2" s="71" t="s">
        <v>327</v>
      </c>
      <c r="D2" s="71" t="s">
        <v>364</v>
      </c>
      <c r="E2" s="71" t="s">
        <v>365</v>
      </c>
      <c r="F2" s="62" t="s">
        <v>366</v>
      </c>
      <c r="H2" s="98" t="s">
        <v>367</v>
      </c>
      <c r="I2" s="58" t="s">
        <v>251</v>
      </c>
      <c r="J2" s="1"/>
      <c r="K2" s="1"/>
    </row>
    <row r="3" spans="1:12">
      <c r="A3" t="s">
        <v>345</v>
      </c>
      <c r="B3" s="63" t="s">
        <v>13</v>
      </c>
      <c r="C3" s="51">
        <v>0.52569999999999995</v>
      </c>
      <c r="D3" s="105">
        <f>((DASHBOARD!$D5-3.8)/0.01)*0.00064</f>
        <v>1.2800000000000013E-2</v>
      </c>
      <c r="E3" s="106">
        <f>((DASHBOARD!$E5-3.1)/0.01)*0.00064</f>
        <v>6.4000000000000064E-3</v>
      </c>
      <c r="F3" s="64">
        <f>INDEX($I$2:$I$6, MATCH(DASHBOARD!$C5,$H$2:$H$6,1))</f>
        <v>0</v>
      </c>
      <c r="H3" s="52">
        <v>0</v>
      </c>
      <c r="I3" s="53">
        <v>0</v>
      </c>
      <c r="J3" s="2"/>
      <c r="K3" s="2"/>
    </row>
    <row r="4" spans="1:12">
      <c r="B4" s="63" t="s">
        <v>15</v>
      </c>
      <c r="C4" s="51">
        <v>0.51570000000000005</v>
      </c>
      <c r="D4" s="105">
        <f>((DASHBOARD!$D6-3.8)/0.01)*0.00064</f>
        <v>1.2800000000000013E-2</v>
      </c>
      <c r="E4" s="106">
        <f>((DASHBOARD!$E6-3.1)/0.01)*0.00064</f>
        <v>6.4000000000000064E-3</v>
      </c>
      <c r="F4" s="64">
        <f>INDEX($I$2:$I$6, MATCH(DASHBOARD!$C6,$H$2:$H$6,1))</f>
        <v>0</v>
      </c>
      <c r="H4" s="92">
        <v>165000</v>
      </c>
      <c r="I4" s="53">
        <v>5.0000000000000001E-3</v>
      </c>
      <c r="J4" s="2"/>
    </row>
    <row r="5" spans="1:12">
      <c r="B5" s="63" t="s">
        <v>16</v>
      </c>
      <c r="C5" s="51">
        <v>0.50570000000000004</v>
      </c>
      <c r="D5" s="105">
        <f>((DASHBOARD!$D7-3.8)/0.01)*0.00064</f>
        <v>1.2800000000000013E-2</v>
      </c>
      <c r="E5" s="106">
        <f>((DASHBOARD!$E7-3.1)/0.01)*0.00064</f>
        <v>6.4000000000000064E-3</v>
      </c>
      <c r="F5" s="64">
        <f>INDEX($I$2:$I$6, MATCH(DASHBOARD!$C7,$H$2:$H$6,1))</f>
        <v>0</v>
      </c>
      <c r="H5" s="92">
        <v>210000</v>
      </c>
      <c r="I5" s="53">
        <v>1.4999999999999999E-2</v>
      </c>
      <c r="J5" s="2"/>
    </row>
    <row r="6" spans="1:12" ht="15.75" thickBot="1">
      <c r="B6" s="63" t="s">
        <v>17</v>
      </c>
      <c r="C6" s="51">
        <v>0.50570000000000004</v>
      </c>
      <c r="D6" s="105">
        <f>((DASHBOARD!$D8-3.8)/0.01)*0.00064</f>
        <v>1.2800000000000013E-2</v>
      </c>
      <c r="E6" s="106">
        <f>((DASHBOARD!$E8-3.1)/0.01)*0.00064</f>
        <v>6.4000000000000064E-3</v>
      </c>
      <c r="F6" s="64">
        <f>INDEX($I$2:$I$6, MATCH(DASHBOARD!$C8,$H$2:$H$6,1))</f>
        <v>0</v>
      </c>
      <c r="H6" s="94">
        <v>340000</v>
      </c>
      <c r="I6" s="56">
        <v>0.02</v>
      </c>
      <c r="J6" s="2"/>
    </row>
    <row r="7" spans="1:12">
      <c r="B7" s="63" t="s">
        <v>18</v>
      </c>
      <c r="C7" s="51">
        <v>0.53380000000000005</v>
      </c>
      <c r="D7" s="105">
        <f>((DASHBOARD!$D9-3.8)/0.01)*0.00064</f>
        <v>1.2800000000000013E-2</v>
      </c>
      <c r="E7" s="106">
        <f>((DASHBOARD!$E9-3.1)/0.01)*0.00064</f>
        <v>6.4000000000000064E-3</v>
      </c>
      <c r="F7" s="64">
        <f>INDEX($I$2:$I$6, MATCH(DASHBOARD!$C9,$H$2:$H$6,1))</f>
        <v>0</v>
      </c>
      <c r="J7" s="2"/>
    </row>
    <row r="8" spans="1:12">
      <c r="B8" s="63" t="s">
        <v>19</v>
      </c>
      <c r="C8" s="51">
        <v>0.61699999999999999</v>
      </c>
      <c r="D8" s="105">
        <f>((DASHBOARD!$D10-3.8)/0.01)*0.00064</f>
        <v>1.2800000000000013E-2</v>
      </c>
      <c r="E8" s="106">
        <f>((DASHBOARD!$E10-3.1)/0.01)*0.00064</f>
        <v>6.4000000000000064E-3</v>
      </c>
      <c r="F8" s="64">
        <f>INDEX($I$2:$I$6, MATCH(DASHBOARD!$C10,$H$2:$H$6,1))</f>
        <v>0</v>
      </c>
      <c r="J8" s="2"/>
    </row>
    <row r="9" spans="1:12">
      <c r="B9" s="63" t="s">
        <v>20</v>
      </c>
      <c r="C9" s="51">
        <v>0.68579999999999997</v>
      </c>
      <c r="D9" s="105">
        <f>((DASHBOARD!$D11-3.8)/0.01)*0.00064</f>
        <v>1.2800000000000013E-2</v>
      </c>
      <c r="E9" s="106">
        <f>((DASHBOARD!$E11-3.1)/0.01)*0.00064</f>
        <v>6.4000000000000064E-3</v>
      </c>
      <c r="F9" s="64">
        <f>INDEX($I$2:$I$6, MATCH(DASHBOARD!$C11,$H$2:$H$6,1))</f>
        <v>0</v>
      </c>
      <c r="J9" s="2"/>
      <c r="K9" s="2"/>
    </row>
    <row r="10" spans="1:12">
      <c r="B10" s="63" t="s">
        <v>21</v>
      </c>
      <c r="C10" s="51">
        <v>0.68579999999999997</v>
      </c>
      <c r="D10" s="105">
        <f>((DASHBOARD!$D12-3.8)/0.01)*0.00064</f>
        <v>1.2800000000000013E-2</v>
      </c>
      <c r="E10" s="106">
        <f>((DASHBOARD!$E12-3.1)/0.01)*0.00064</f>
        <v>6.4000000000000064E-3</v>
      </c>
      <c r="F10" s="64">
        <f>INDEX($I$2:$I$6, MATCH(DASHBOARD!$C12,$H$2:$H$6,1))</f>
        <v>0</v>
      </c>
      <c r="J10" s="2"/>
      <c r="K10" s="2"/>
    </row>
    <row r="11" spans="1:12">
      <c r="B11" s="63" t="s">
        <v>22</v>
      </c>
      <c r="C11" s="51">
        <v>0.67830000000000001</v>
      </c>
      <c r="D11" s="105">
        <f>((DASHBOARD!$D13-3.8)/0.01)*0.00064</f>
        <v>1.2800000000000013E-2</v>
      </c>
      <c r="E11" s="106">
        <f>((DASHBOARD!$E13-3.1)/0.01)*0.00064</f>
        <v>6.4000000000000064E-3</v>
      </c>
      <c r="F11" s="64">
        <f>INDEX($I$2:$I$6, MATCH(DASHBOARD!$C13,$H$2:$H$6,1))</f>
        <v>0</v>
      </c>
      <c r="J11" s="2"/>
      <c r="K11" s="2"/>
    </row>
    <row r="12" spans="1:12">
      <c r="B12" s="63" t="s">
        <v>23</v>
      </c>
      <c r="C12" s="51">
        <v>0.67079999999999995</v>
      </c>
      <c r="D12" s="105">
        <f>((DASHBOARD!$D14-3.8)/0.01)*0.00064</f>
        <v>1.2800000000000013E-2</v>
      </c>
      <c r="E12" s="106">
        <f>((DASHBOARD!$E14-3.1)/0.01)*0.00064</f>
        <v>6.4000000000000064E-3</v>
      </c>
      <c r="F12" s="64">
        <f>INDEX($I$2:$I$6, MATCH(DASHBOARD!$C14,$H$2:$H$6,1))</f>
        <v>0</v>
      </c>
      <c r="J12" s="2"/>
      <c r="K12" s="2"/>
    </row>
    <row r="13" spans="1:12">
      <c r="B13" s="63" t="s">
        <v>24</v>
      </c>
      <c r="C13" s="51">
        <v>0.66080000000000005</v>
      </c>
      <c r="D13" s="105">
        <f>((DASHBOARD!$D15-3.8)/0.01)*0.00064</f>
        <v>1.2800000000000013E-2</v>
      </c>
      <c r="E13" s="106">
        <f>((DASHBOARD!$E15-3.1)/0.01)*0.00064</f>
        <v>6.4000000000000064E-3</v>
      </c>
      <c r="F13" s="64">
        <f>INDEX($I$2:$I$6, MATCH(DASHBOARD!$C15,$H$2:$H$6,1))</f>
        <v>0</v>
      </c>
      <c r="J13" s="2"/>
      <c r="K13" s="2"/>
    </row>
    <row r="14" spans="1:12" ht="15.75" thickBot="1">
      <c r="B14" s="65" t="s">
        <v>25</v>
      </c>
      <c r="C14" s="55">
        <v>0.60250000000000004</v>
      </c>
      <c r="D14" s="107">
        <f>((DASHBOARD!$D16-3.8)/0.01)*0.00064</f>
        <v>1.2800000000000013E-2</v>
      </c>
      <c r="E14" s="108">
        <f>((DASHBOARD!$E16-3.1)/0.01)*0.00064</f>
        <v>6.4000000000000064E-3</v>
      </c>
      <c r="F14" s="66">
        <f>INDEX($I$2:$I$6, MATCH(DASHBOARD!$C16,$H$2:$H$6,1))</f>
        <v>0</v>
      </c>
      <c r="J14" s="2"/>
      <c r="K14" s="2"/>
    </row>
    <row r="15" spans="1:12">
      <c r="K15" s="2"/>
      <c r="L15" s="2"/>
    </row>
    <row r="16" spans="1:12">
      <c r="B16" t="s">
        <v>26</v>
      </c>
      <c r="J16" s="2"/>
      <c r="K16" s="2"/>
      <c r="L16" s="2"/>
    </row>
  </sheetData>
  <sheetProtection algorithmName="SHA-512" hashValue="fuwedOflge3rCiOGiAs33wLjCnULdlz6wgTL5w9CsIXlwO6H7sEXCZYAIM7HYEvL/LJph4UJvYI6jsvs/2n12Q==" saltValue="2waitiP9j0JU2lJjSccURQ==" spinCount="100000" sheet="1" objects="1" scenarios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9C69D-AC23-4503-9F0A-BF2B3B819D92}">
  <dimension ref="A1:L16"/>
  <sheetViews>
    <sheetView workbookViewId="0">
      <selection activeCell="K3" sqref="K3"/>
    </sheetView>
  </sheetViews>
  <sheetFormatPr defaultRowHeight="15"/>
  <cols>
    <col min="1" max="1" width="67.5703125" customWidth="1"/>
    <col min="2" max="2" width="10.85546875" bestFit="1" customWidth="1"/>
    <col min="3" max="3" width="12.140625" customWidth="1"/>
    <col min="4" max="5" width="16.140625" bestFit="1" customWidth="1"/>
    <col min="6" max="7" width="17.42578125" bestFit="1" customWidth="1"/>
    <col min="9" max="9" width="8.5703125" bestFit="1" customWidth="1"/>
    <col min="10" max="10" width="17" bestFit="1" customWidth="1"/>
    <col min="11" max="11" width="18" customWidth="1"/>
    <col min="12" max="12" width="16.7109375" customWidth="1"/>
  </cols>
  <sheetData>
    <row r="1" spans="1:12" ht="61.5" customHeight="1" thickBot="1">
      <c r="A1" s="32" t="s">
        <v>368</v>
      </c>
    </row>
    <row r="2" spans="1:12" ht="39" customHeight="1">
      <c r="A2" s="25"/>
      <c r="B2" s="61" t="s">
        <v>7</v>
      </c>
      <c r="C2" s="71" t="s">
        <v>369</v>
      </c>
      <c r="D2" s="71" t="s">
        <v>364</v>
      </c>
      <c r="E2" s="71" t="s">
        <v>365</v>
      </c>
      <c r="F2" s="71" t="s">
        <v>336</v>
      </c>
      <c r="G2" s="62" t="s">
        <v>337</v>
      </c>
      <c r="H2" s="1"/>
      <c r="I2" s="61" t="s">
        <v>370</v>
      </c>
      <c r="J2" s="71" t="s">
        <v>339</v>
      </c>
      <c r="K2" s="62" t="s">
        <v>340</v>
      </c>
    </row>
    <row r="3" spans="1:12">
      <c r="B3" s="63" t="s">
        <v>13</v>
      </c>
      <c r="C3" s="51">
        <v>0.72599999999999998</v>
      </c>
      <c r="D3" s="105">
        <f>((DASHBOARD!$D5-3.8)/0.01)*0.00051769</f>
        <v>1.035380000000001E-2</v>
      </c>
      <c r="E3" s="106">
        <f>((DASHBOARD!$E5-3.1)/0.01)*0.00082831</f>
        <v>8.2831000000000068E-3</v>
      </c>
      <c r="F3" s="49">
        <f>INDEX($J$2:$J$6,MATCH(DASHBOARD!$F5,$I$2:$I$6,1))</f>
        <v>0.28000000000000003</v>
      </c>
      <c r="G3" s="64">
        <f>INDEX($K$2:$K$6,MATCH(DASHBOARD!$F5,$I$2:$I$6,1))</f>
        <v>0.55000000000000004</v>
      </c>
      <c r="I3" s="110">
        <v>0</v>
      </c>
      <c r="J3" s="109">
        <v>0.28000000000000003</v>
      </c>
      <c r="K3" s="90">
        <v>0.55000000000000004</v>
      </c>
    </row>
    <row r="4" spans="1:12">
      <c r="A4" t="s">
        <v>345</v>
      </c>
      <c r="B4" s="63" t="s">
        <v>15</v>
      </c>
      <c r="C4" s="51">
        <v>0.66600000000000004</v>
      </c>
      <c r="D4" s="105">
        <f>((DASHBOARD!$D6-3.8)/0.01)*0.00051769</f>
        <v>1.035380000000001E-2</v>
      </c>
      <c r="E4" s="106">
        <f>((DASHBOARD!$E6-3.1)/0.01)*0.00082831</f>
        <v>8.2831000000000068E-3</v>
      </c>
      <c r="F4" s="49">
        <f>INDEX($J$2:$J$6,MATCH(DASHBOARD!$F6,$I$2:$I$6,1))</f>
        <v>0.28000000000000003</v>
      </c>
      <c r="G4" s="64">
        <f>INDEX($K$2:$K$6,MATCH(DASHBOARD!$F6,$I$2:$I$6,1))</f>
        <v>0.55000000000000004</v>
      </c>
      <c r="I4" s="110">
        <v>30001</v>
      </c>
      <c r="J4" s="109">
        <v>0.3</v>
      </c>
      <c r="K4" s="90">
        <v>0.6</v>
      </c>
    </row>
    <row r="5" spans="1:12">
      <c r="B5" s="63" t="s">
        <v>16</v>
      </c>
      <c r="C5" s="51">
        <v>0.66600000000000004</v>
      </c>
      <c r="D5" s="105">
        <f>((DASHBOARD!$D7-3.8)/0.01)*0.00051769</f>
        <v>1.035380000000001E-2</v>
      </c>
      <c r="E5" s="106">
        <f>((DASHBOARD!$E7-3.1)/0.01)*0.00082831</f>
        <v>8.2831000000000068E-3</v>
      </c>
      <c r="F5" s="49">
        <f>INDEX($J$2:$J$6,MATCH(DASHBOARD!$F7,$I$2:$I$6,1))</f>
        <v>0.28000000000000003</v>
      </c>
      <c r="G5" s="64">
        <f>INDEX($K$2:$K$6,MATCH(DASHBOARD!$F7,$I$2:$I$6,1))</f>
        <v>0.55000000000000004</v>
      </c>
      <c r="I5" s="110">
        <v>45001</v>
      </c>
      <c r="J5" s="109">
        <v>0.35</v>
      </c>
      <c r="K5" s="90">
        <v>0.7</v>
      </c>
    </row>
    <row r="6" spans="1:12" ht="15.75" thickBot="1">
      <c r="B6" s="63" t="s">
        <v>17</v>
      </c>
      <c r="C6" s="51">
        <v>0.66600000000000004</v>
      </c>
      <c r="D6" s="105">
        <f>((DASHBOARD!$D8-3.8)/0.01)*0.00051769</f>
        <v>1.035380000000001E-2</v>
      </c>
      <c r="E6" s="106">
        <f>((DASHBOARD!$E8-3.1)/0.01)*0.00082831</f>
        <v>8.2831000000000068E-3</v>
      </c>
      <c r="F6" s="49">
        <f>INDEX($J$2:$J$6,MATCH(DASHBOARD!$F8,$I$2:$I$6,1))</f>
        <v>0.28000000000000003</v>
      </c>
      <c r="G6" s="64">
        <f>INDEX($K$2:$K$6,MATCH(DASHBOARD!$F8,$I$2:$I$6,1))</f>
        <v>0.55000000000000004</v>
      </c>
      <c r="I6" s="111">
        <v>55001</v>
      </c>
      <c r="J6" s="112">
        <v>0.4</v>
      </c>
      <c r="K6" s="91">
        <v>0.8</v>
      </c>
    </row>
    <row r="7" spans="1:12">
      <c r="B7" s="63" t="s">
        <v>18</v>
      </c>
      <c r="C7" s="51">
        <v>0.66600000000000004</v>
      </c>
      <c r="D7" s="105">
        <f>((DASHBOARD!$D9-3.8)/0.01)*0.00051769</f>
        <v>1.035380000000001E-2</v>
      </c>
      <c r="E7" s="106">
        <f>((DASHBOARD!$E9-3.1)/0.01)*0.00082831</f>
        <v>8.2831000000000068E-3</v>
      </c>
      <c r="F7" s="49">
        <f>INDEX($J$2:$J$6,MATCH(DASHBOARD!$F9,$I$2:$I$6,1))</f>
        <v>0.28000000000000003</v>
      </c>
      <c r="G7" s="64">
        <f>INDEX($K$2:$K$6,MATCH(DASHBOARD!$F9,$I$2:$I$6,1))</f>
        <v>0.55000000000000004</v>
      </c>
      <c r="J7" s="2"/>
      <c r="K7" s="2"/>
    </row>
    <row r="8" spans="1:12">
      <c r="B8" s="63" t="s">
        <v>19</v>
      </c>
      <c r="C8" s="51">
        <v>0.66600000000000004</v>
      </c>
      <c r="D8" s="105">
        <f>((DASHBOARD!$D10-3.8)/0.01)*0.00051769</f>
        <v>1.035380000000001E-2</v>
      </c>
      <c r="E8" s="106">
        <f>((DASHBOARD!$E10-3.1)/0.01)*0.00082831</f>
        <v>8.2831000000000068E-3</v>
      </c>
      <c r="F8" s="49">
        <f>INDEX($J$2:$J$6,MATCH(DASHBOARD!$F10,$I$2:$I$6,1))</f>
        <v>0.28000000000000003</v>
      </c>
      <c r="G8" s="64">
        <f>INDEX($K$2:$K$6,MATCH(DASHBOARD!$F10,$I$2:$I$6,1))</f>
        <v>0.55000000000000004</v>
      </c>
      <c r="J8" s="2"/>
      <c r="K8" s="2"/>
    </row>
    <row r="9" spans="1:12">
      <c r="B9" s="63" t="s">
        <v>20</v>
      </c>
      <c r="C9" s="51">
        <v>0.71599999999999997</v>
      </c>
      <c r="D9" s="105">
        <f>((DASHBOARD!$D11-3.8)/0.01)*0.00051769</f>
        <v>1.035380000000001E-2</v>
      </c>
      <c r="E9" s="106">
        <f>((DASHBOARD!$E11-3.1)/0.01)*0.00082831</f>
        <v>8.2831000000000068E-3</v>
      </c>
      <c r="F9" s="49">
        <f>INDEX($J$2:$J$6,MATCH(DASHBOARD!$F11,$I$2:$I$6,1))</f>
        <v>0.28000000000000003</v>
      </c>
      <c r="G9" s="64">
        <f>INDEX($K$2:$K$6,MATCH(DASHBOARD!$F11,$I$2:$I$6,1))</f>
        <v>0.55000000000000004</v>
      </c>
      <c r="J9" s="2"/>
      <c r="K9" s="2"/>
    </row>
    <row r="10" spans="1:12">
      <c r="B10" s="63" t="s">
        <v>21</v>
      </c>
      <c r="C10" s="51">
        <v>0.71599999999999997</v>
      </c>
      <c r="D10" s="105">
        <f>((DASHBOARD!$D12-3.8)/0.01)*0.00051769</f>
        <v>1.035380000000001E-2</v>
      </c>
      <c r="E10" s="106">
        <f>((DASHBOARD!$E12-3.1)/0.01)*0.00082831</f>
        <v>8.2831000000000068E-3</v>
      </c>
      <c r="F10" s="49">
        <f>INDEX($J$2:$J$6,MATCH(DASHBOARD!$F12,$I$2:$I$6,1))</f>
        <v>0.28000000000000003</v>
      </c>
      <c r="G10" s="64">
        <f>INDEX($K$2:$K$6,MATCH(DASHBOARD!$F12,$I$2:$I$6,1))</f>
        <v>0.55000000000000004</v>
      </c>
      <c r="J10" s="2"/>
      <c r="K10" s="2"/>
    </row>
    <row r="11" spans="1:12">
      <c r="B11" s="63" t="s">
        <v>22</v>
      </c>
      <c r="C11" s="51">
        <v>0.71599999999999997</v>
      </c>
      <c r="D11" s="105">
        <f>((DASHBOARD!$D13-3.8)/0.01)*0.00051769</f>
        <v>1.035380000000001E-2</v>
      </c>
      <c r="E11" s="106">
        <f>((DASHBOARD!$E13-3.1)/0.01)*0.00082831</f>
        <v>8.2831000000000068E-3</v>
      </c>
      <c r="F11" s="49">
        <f>INDEX($J$2:$J$6,MATCH(DASHBOARD!$F13,$I$2:$I$6,1))</f>
        <v>0.28000000000000003</v>
      </c>
      <c r="G11" s="64">
        <f>INDEX($K$2:$K$6,MATCH(DASHBOARD!$F13,$I$2:$I$6,1))</f>
        <v>0.55000000000000004</v>
      </c>
      <c r="J11" s="2"/>
      <c r="K11" s="2"/>
    </row>
    <row r="12" spans="1:12">
      <c r="B12" s="63" t="s">
        <v>23</v>
      </c>
      <c r="C12" s="51">
        <v>0.71599999999999997</v>
      </c>
      <c r="D12" s="105">
        <f>((DASHBOARD!$D14-3.8)/0.01)*0.00051769</f>
        <v>1.035380000000001E-2</v>
      </c>
      <c r="E12" s="106">
        <f>((DASHBOARD!$E14-3.1)/0.01)*0.00082831</f>
        <v>8.2831000000000068E-3</v>
      </c>
      <c r="F12" s="49">
        <f>INDEX($J$2:$J$6,MATCH(DASHBOARD!$F14,$I$2:$I$6,1))</f>
        <v>0.28000000000000003</v>
      </c>
      <c r="G12" s="64">
        <f>INDEX($K$2:$K$6,MATCH(DASHBOARD!$F14,$I$2:$I$6,1))</f>
        <v>0.55000000000000004</v>
      </c>
      <c r="J12" s="2"/>
      <c r="K12" s="2"/>
    </row>
    <row r="13" spans="1:12">
      <c r="B13" s="63" t="s">
        <v>24</v>
      </c>
      <c r="C13" s="51">
        <v>0.71599999999999997</v>
      </c>
      <c r="D13" s="105">
        <f>((DASHBOARD!$D15-3.8)/0.01)*0.00051769</f>
        <v>1.035380000000001E-2</v>
      </c>
      <c r="E13" s="106">
        <f>((DASHBOARD!$E15-3.1)/0.01)*0.00082831</f>
        <v>8.2831000000000068E-3</v>
      </c>
      <c r="F13" s="49">
        <f>INDEX($J$2:$J$6,MATCH(DASHBOARD!$F15,$I$2:$I$6,1))</f>
        <v>0.28000000000000003</v>
      </c>
      <c r="G13" s="64">
        <f>INDEX($K$2:$K$6,MATCH(DASHBOARD!$F15,$I$2:$I$6,1))</f>
        <v>0.55000000000000004</v>
      </c>
      <c r="J13" s="2"/>
      <c r="K13" s="2"/>
    </row>
    <row r="14" spans="1:12" ht="15.75" thickBot="1">
      <c r="B14" s="65" t="s">
        <v>25</v>
      </c>
      <c r="C14" s="55">
        <v>0.74099999999999999</v>
      </c>
      <c r="D14" s="107">
        <f>((DASHBOARD!$D16-3.8)/0.01)*0.00051769</f>
        <v>1.035380000000001E-2</v>
      </c>
      <c r="E14" s="108">
        <f>((DASHBOARD!$E16-3.1)/0.01)*0.00082831</f>
        <v>8.2831000000000068E-3</v>
      </c>
      <c r="F14" s="74">
        <f>INDEX($J$2:$J$6,MATCH(DASHBOARD!$F16,$I$2:$I$6,1))</f>
        <v>0.28000000000000003</v>
      </c>
      <c r="G14" s="66">
        <f>INDEX($K$2:$K$6,MATCH(DASHBOARD!$F16,$I$2:$I$6,1))</f>
        <v>0.55000000000000004</v>
      </c>
      <c r="J14" s="2"/>
      <c r="K14" s="2"/>
    </row>
    <row r="15" spans="1:12">
      <c r="K15" s="2"/>
      <c r="L15" s="2"/>
    </row>
    <row r="16" spans="1:12">
      <c r="B16" t="s">
        <v>26</v>
      </c>
      <c r="J16" s="2"/>
      <c r="K16" s="2"/>
      <c r="L16" s="2"/>
    </row>
  </sheetData>
  <sheetProtection algorithmName="SHA-512" hashValue="g3eq2cMv/BqwHGHQIzRwCU3JmOlwWKGTICSVSF5xQJpZNC/UqXcaEJyyWC5ZL2SOiGevLvotgQYAqZzYLpzkUg==" saltValue="8+HJK7jn2C5B86pJ+y7Jvg==" spinCount="100000"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D915-4A24-48D1-B872-E57078EFA6C2}">
  <dimension ref="A1:H17"/>
  <sheetViews>
    <sheetView workbookViewId="0">
      <selection activeCell="D5" sqref="D5"/>
    </sheetView>
  </sheetViews>
  <sheetFormatPr defaultRowHeight="15"/>
  <cols>
    <col min="3" max="3" width="10.85546875" bestFit="1" customWidth="1"/>
    <col min="4" max="4" width="14.5703125" customWidth="1"/>
    <col min="5" max="5" width="10" bestFit="1" customWidth="1"/>
    <col min="7" max="7" width="11.28515625" bestFit="1" customWidth="1"/>
    <col min="8" max="8" width="14.140625" bestFit="1" customWidth="1"/>
    <col min="11" max="11" width="14.7109375" customWidth="1"/>
  </cols>
  <sheetData>
    <row r="1" spans="1:8">
      <c r="A1" t="s">
        <v>371</v>
      </c>
    </row>
    <row r="2" spans="1:8" ht="15.75" thickBot="1"/>
    <row r="3" spans="1:8" ht="60">
      <c r="C3" s="61" t="s">
        <v>7</v>
      </c>
      <c r="D3" s="71" t="s">
        <v>372</v>
      </c>
      <c r="E3" s="62" t="s">
        <v>373</v>
      </c>
      <c r="G3" s="57" t="s">
        <v>238</v>
      </c>
      <c r="H3" s="58" t="s">
        <v>300</v>
      </c>
    </row>
    <row r="4" spans="1:8">
      <c r="C4" s="63" t="s">
        <v>13</v>
      </c>
      <c r="D4" s="51">
        <v>5.6120000000000001</v>
      </c>
      <c r="E4" s="64">
        <f>INDEX($H$3:$H$7,MATCH(DASHBOARD!$F$18,$G$3:$G$7,1))</f>
        <v>0.04</v>
      </c>
      <c r="G4" s="52">
        <v>0</v>
      </c>
      <c r="H4" s="53">
        <v>0.04</v>
      </c>
    </row>
    <row r="5" spans="1:8">
      <c r="C5" s="63" t="s">
        <v>15</v>
      </c>
      <c r="D5" s="51">
        <v>5.4</v>
      </c>
      <c r="E5" s="64">
        <f>INDEX($H$3:$H$7,MATCH(DASHBOARD!$F$18,$G$3:$G$7,1))</f>
        <v>0.04</v>
      </c>
      <c r="G5" s="52">
        <v>100000</v>
      </c>
      <c r="H5" s="53">
        <v>0.13</v>
      </c>
    </row>
    <row r="6" spans="1:8">
      <c r="C6" s="63" t="s">
        <v>16</v>
      </c>
      <c r="D6" s="51">
        <v>4.34</v>
      </c>
      <c r="E6" s="64">
        <f>INDEX($H$3:$H$7,MATCH(DASHBOARD!$F$18,$G$3:$G$7,1))</f>
        <v>0.04</v>
      </c>
      <c r="G6" s="52">
        <v>200000</v>
      </c>
      <c r="H6" s="53">
        <v>0.16</v>
      </c>
    </row>
    <row r="7" spans="1:8" ht="15.75" thickBot="1">
      <c r="C7" s="63" t="s">
        <v>17</v>
      </c>
      <c r="D7" s="51">
        <v>3.7890000000000001</v>
      </c>
      <c r="E7" s="64">
        <f>INDEX($H$3:$H$7,MATCH(DASHBOARD!$F$18,$G$3:$G$7,1))</f>
        <v>0.04</v>
      </c>
      <c r="G7" s="54">
        <v>300000</v>
      </c>
      <c r="H7" s="56">
        <v>0.2</v>
      </c>
    </row>
    <row r="8" spans="1:8">
      <c r="C8" s="63" t="s">
        <v>18</v>
      </c>
      <c r="D8" s="51">
        <v>3.7890000000000001</v>
      </c>
      <c r="E8" s="64">
        <f>INDEX($H$3:$H$7,MATCH(DASHBOARD!$F$18,$G$3:$G$7,1))</f>
        <v>0.04</v>
      </c>
    </row>
    <row r="9" spans="1:8">
      <c r="C9" s="63" t="s">
        <v>19</v>
      </c>
      <c r="D9" s="51">
        <v>3.7890000000000001</v>
      </c>
      <c r="E9" s="64">
        <f>INDEX($H$3:$H$7,MATCH(DASHBOARD!$F$18,$G$3:$G$7,1))</f>
        <v>0.04</v>
      </c>
    </row>
    <row r="10" spans="1:8">
      <c r="C10" s="63" t="s">
        <v>20</v>
      </c>
      <c r="D10" s="51">
        <v>4.17</v>
      </c>
      <c r="E10" s="64">
        <f>INDEX($H$3:$H$7,MATCH(DASHBOARD!$F$18,$G$3:$G$7,1))</f>
        <v>0.04</v>
      </c>
    </row>
    <row r="11" spans="1:8">
      <c r="C11" s="63" t="s">
        <v>21</v>
      </c>
      <c r="D11" s="51">
        <v>4.34</v>
      </c>
      <c r="E11" s="64">
        <f>INDEX($H$3:$H$7,MATCH(DASHBOARD!$F$18,$G$3:$G$7,1))</f>
        <v>0.04</v>
      </c>
    </row>
    <row r="12" spans="1:8">
      <c r="C12" s="63" t="s">
        <v>22</v>
      </c>
      <c r="D12" s="51">
        <v>4.4249999999999998</v>
      </c>
      <c r="E12" s="64">
        <f>INDEX($H$3:$H$7,MATCH(DASHBOARD!$F$18,$G$3:$G$7,1))</f>
        <v>0.04</v>
      </c>
    </row>
    <row r="13" spans="1:8">
      <c r="C13" s="63" t="s">
        <v>23</v>
      </c>
      <c r="D13" s="51">
        <v>4.5519999999999996</v>
      </c>
      <c r="E13" s="64">
        <f>INDEX($H$3:$H$7,MATCH(DASHBOARD!$F$18,$G$3:$G$7,1))</f>
        <v>0.04</v>
      </c>
    </row>
    <row r="14" spans="1:8">
      <c r="C14" s="63" t="s">
        <v>24</v>
      </c>
      <c r="D14" s="51">
        <v>5.1879999999999997</v>
      </c>
      <c r="E14" s="64">
        <f>INDEX($H$3:$H$7,MATCH(DASHBOARD!$F$18,$G$3:$G$7,1))</f>
        <v>0.04</v>
      </c>
    </row>
    <row r="15" spans="1:8" ht="15.75" thickBot="1">
      <c r="C15" s="65" t="s">
        <v>25</v>
      </c>
      <c r="D15" s="55">
        <v>5.6120000000000001</v>
      </c>
      <c r="E15" s="66">
        <f>INDEX($H$3:$H$7,MATCH(DASHBOARD!$F$18,$G$3:$G$7,1))</f>
        <v>0.04</v>
      </c>
    </row>
    <row r="17" spans="3:3">
      <c r="C17" t="s">
        <v>26</v>
      </c>
    </row>
  </sheetData>
  <sheetProtection algorithmName="SHA-512" hashValue="75ZqudJD1QuErOfkBr1IfOr/PiPfocq3Jm7/WicPn/+4i4cPbh+VdeUAYN/Edsis8icW7TeKnz3JuLPU3kxGvA==" saltValue="OOXX2BQOKr5FDb/G1o7+DQ==" spinCount="100000" sheet="1" objects="1" scenarios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C1834-4CC9-454D-862E-7AD6A52A7184}">
  <dimension ref="A1:Q29"/>
  <sheetViews>
    <sheetView topLeftCell="F1" workbookViewId="0">
      <selection activeCell="R5" sqref="R5"/>
    </sheetView>
  </sheetViews>
  <sheetFormatPr defaultRowHeight="15"/>
  <cols>
    <col min="4" max="4" width="10.85546875" bestFit="1" customWidth="1"/>
    <col min="5" max="5" width="15.7109375" customWidth="1"/>
    <col min="6" max="6" width="18.42578125" bestFit="1" customWidth="1"/>
    <col min="7" max="7" width="18.140625" bestFit="1" customWidth="1"/>
    <col min="8" max="8" width="24.5703125" customWidth="1"/>
    <col min="9" max="9" width="29" bestFit="1" customWidth="1"/>
    <col min="10" max="10" width="20.85546875" bestFit="1" customWidth="1"/>
    <col min="11" max="11" width="16.42578125" bestFit="1" customWidth="1"/>
    <col min="13" max="14" width="26.5703125" bestFit="1" customWidth="1"/>
    <col min="16" max="16" width="14" bestFit="1" customWidth="1"/>
    <col min="17" max="17" width="32.28515625" bestFit="1" customWidth="1"/>
    <col min="18" max="18" width="14" bestFit="1" customWidth="1"/>
    <col min="19" max="19" width="32.28515625" bestFit="1" customWidth="1"/>
  </cols>
  <sheetData>
    <row r="1" spans="1:17">
      <c r="A1" t="s">
        <v>374</v>
      </c>
    </row>
    <row r="2" spans="1:17">
      <c r="A2" t="s">
        <v>375</v>
      </c>
    </row>
    <row r="3" spans="1:17" ht="15.75" thickBot="1"/>
    <row r="4" spans="1:17" ht="30">
      <c r="D4" s="61" t="s">
        <v>7</v>
      </c>
      <c r="E4" s="71" t="s">
        <v>224</v>
      </c>
      <c r="F4" s="60" t="s">
        <v>225</v>
      </c>
      <c r="G4" s="60" t="s">
        <v>376</v>
      </c>
      <c r="H4" s="71" t="s">
        <v>373</v>
      </c>
      <c r="I4" s="60" t="s">
        <v>377</v>
      </c>
      <c r="J4" s="60" t="s">
        <v>378</v>
      </c>
      <c r="K4" s="58" t="s">
        <v>379</v>
      </c>
      <c r="M4" s="57" t="s">
        <v>380</v>
      </c>
      <c r="N4" s="58" t="s">
        <v>300</v>
      </c>
      <c r="P4" s="57" t="s">
        <v>381</v>
      </c>
      <c r="Q4" s="58" t="s">
        <v>382</v>
      </c>
    </row>
    <row r="5" spans="1:17">
      <c r="D5" s="63" t="s">
        <v>13</v>
      </c>
      <c r="E5" s="51">
        <v>4.9000000000000004</v>
      </c>
      <c r="F5" s="51">
        <v>6.86</v>
      </c>
      <c r="G5" s="51">
        <v>0.215</v>
      </c>
      <c r="H5" s="49">
        <f>INDEX($N$4:$N$29,MATCH(DASHBOARD!$F5,$M$4:$M$29,1))</f>
        <v>1.5649999999999999</v>
      </c>
      <c r="I5" s="49">
        <v>0</v>
      </c>
      <c r="J5" s="51">
        <v>0</v>
      </c>
      <c r="K5" s="86">
        <f>100/2*31</f>
        <v>1550</v>
      </c>
      <c r="M5" s="52">
        <v>0</v>
      </c>
      <c r="N5" s="53">
        <v>0.50700000000000001</v>
      </c>
      <c r="P5" s="52">
        <v>0</v>
      </c>
      <c r="Q5" s="53">
        <v>4.4999999999999998E-2</v>
      </c>
    </row>
    <row r="6" spans="1:17">
      <c r="D6" s="63" t="s">
        <v>15</v>
      </c>
      <c r="E6" s="51">
        <v>4.9000000000000004</v>
      </c>
      <c r="F6" s="51">
        <v>6.86</v>
      </c>
      <c r="G6" s="51">
        <v>0.215</v>
      </c>
      <c r="H6" s="49">
        <f>INDEX($N$4:$N$29,MATCH(DASHBOARD!$F6,$M$4:$M$29,1))</f>
        <v>1.5649999999999999</v>
      </c>
      <c r="I6" s="49">
        <v>0</v>
      </c>
      <c r="J6" s="51">
        <v>0</v>
      </c>
      <c r="K6" s="86">
        <f>100/2*31</f>
        <v>1550</v>
      </c>
      <c r="M6" s="52">
        <v>900</v>
      </c>
      <c r="N6" s="53">
        <v>0.62</v>
      </c>
      <c r="P6" s="52">
        <v>1.1001000000000001</v>
      </c>
      <c r="Q6" s="53">
        <v>0.03</v>
      </c>
    </row>
    <row r="7" spans="1:17">
      <c r="D7" s="63" t="s">
        <v>16</v>
      </c>
      <c r="E7" s="51">
        <v>4.9000000000000004</v>
      </c>
      <c r="F7" s="51">
        <v>6.86</v>
      </c>
      <c r="G7" s="51">
        <v>0.20499999999999999</v>
      </c>
      <c r="H7" s="49">
        <f>INDEX($N$4:$N$29,MATCH(DASHBOARD!$F7,$M$4:$M$29,1))</f>
        <v>1.5649999999999999</v>
      </c>
      <c r="I7" s="49">
        <v>0</v>
      </c>
      <c r="J7" s="51">
        <v>0</v>
      </c>
      <c r="K7" s="86">
        <f>100/2*30</f>
        <v>1500</v>
      </c>
      <c r="M7" s="52">
        <v>1800</v>
      </c>
      <c r="N7" s="53">
        <v>0.73399999999999999</v>
      </c>
      <c r="P7" s="52">
        <v>1.1500999999999999</v>
      </c>
      <c r="Q7" s="53">
        <v>1.4999999999999999E-2</v>
      </c>
    </row>
    <row r="8" spans="1:17" ht="15.75" thickBot="1">
      <c r="D8" s="63" t="s">
        <v>17</v>
      </c>
      <c r="E8" s="51">
        <v>4.9000000000000004</v>
      </c>
      <c r="F8" s="51">
        <v>6.86</v>
      </c>
      <c r="G8" s="51">
        <v>0.20499999999999999</v>
      </c>
      <c r="H8" s="49">
        <f>INDEX($N$4:$N$29,MATCH(DASHBOARD!$F8,$M$4:$M$29,1))</f>
        <v>1.5649999999999999</v>
      </c>
      <c r="I8" s="49">
        <v>0</v>
      </c>
      <c r="J8" s="51">
        <v>0</v>
      </c>
      <c r="K8" s="86">
        <f>100/2*31</f>
        <v>1550</v>
      </c>
      <c r="M8" s="52">
        <v>2500</v>
      </c>
      <c r="N8" s="53">
        <v>0.85</v>
      </c>
      <c r="P8" s="54">
        <v>1.2000999999999999</v>
      </c>
      <c r="Q8" s="56">
        <v>5.0000000000000001E-3</v>
      </c>
    </row>
    <row r="9" spans="1:17">
      <c r="D9" s="63" t="s">
        <v>18</v>
      </c>
      <c r="E9" s="51">
        <v>4.9000000000000004</v>
      </c>
      <c r="F9" s="51">
        <v>6.86</v>
      </c>
      <c r="G9" s="51">
        <v>0.20499999999999999</v>
      </c>
      <c r="H9" s="49">
        <f>INDEX($N$4:$N$29,MATCH(DASHBOARD!$F9,$M$4:$M$29,1))</f>
        <v>1.5649999999999999</v>
      </c>
      <c r="I9" s="49">
        <v>0</v>
      </c>
      <c r="J9" s="51">
        <v>0</v>
      </c>
      <c r="K9" s="86">
        <f>100/2*30</f>
        <v>1500</v>
      </c>
      <c r="M9" s="52">
        <v>3200</v>
      </c>
      <c r="N9" s="53">
        <v>1.35</v>
      </c>
    </row>
    <row r="10" spans="1:17">
      <c r="D10" s="63" t="s">
        <v>19</v>
      </c>
      <c r="E10" s="51">
        <v>4.9000000000000004</v>
      </c>
      <c r="F10" s="51">
        <v>6.86</v>
      </c>
      <c r="G10" s="51">
        <v>0.21</v>
      </c>
      <c r="H10" s="49">
        <f>INDEX($N$4:$N$29,MATCH(DASHBOARD!$F10,$M$4:$M$29,1))</f>
        <v>1.5649999999999999</v>
      </c>
      <c r="I10" s="49">
        <v>0</v>
      </c>
      <c r="J10" s="51">
        <v>0</v>
      </c>
      <c r="K10" s="86">
        <f>100/2*31</f>
        <v>1550</v>
      </c>
      <c r="M10" s="52">
        <v>3900</v>
      </c>
      <c r="N10" s="53">
        <v>1.4650000000000001</v>
      </c>
    </row>
    <row r="11" spans="1:17">
      <c r="D11" s="63" t="s">
        <v>20</v>
      </c>
      <c r="E11" s="51">
        <v>5.2</v>
      </c>
      <c r="F11" s="51">
        <v>7.28</v>
      </c>
      <c r="G11" s="51">
        <v>0.22500000000000001</v>
      </c>
      <c r="H11" s="49">
        <f>INDEX($N$4:$N$29,MATCH(DASHBOARD!$F11,$M$4:$M$29,1))</f>
        <v>1.5649999999999999</v>
      </c>
      <c r="I11" s="49">
        <f>INDEX($Q$4:$Q$8,MATCH((AVERAGE(DASHBOARD!$C$7:$C$9)/DASHBOARD!$C11),$P$4:$P$8,1))</f>
        <v>4.4999999999999998E-2</v>
      </c>
      <c r="J11" s="51">
        <v>0.01</v>
      </c>
      <c r="K11" s="86">
        <f>100/2*31</f>
        <v>1550</v>
      </c>
      <c r="M11" s="52">
        <v>4600</v>
      </c>
      <c r="N11" s="53">
        <v>1.49</v>
      </c>
    </row>
    <row r="12" spans="1:17">
      <c r="D12" s="63" t="s">
        <v>21</v>
      </c>
      <c r="E12" s="51">
        <v>5.2</v>
      </c>
      <c r="F12" s="51">
        <v>7.28</v>
      </c>
      <c r="G12" s="51">
        <v>0.245</v>
      </c>
      <c r="H12" s="49">
        <f>INDEX($N$4:$N$29,MATCH(DASHBOARD!$F12,$M$4:$M$29,1))</f>
        <v>1.5649999999999999</v>
      </c>
      <c r="I12" s="49">
        <f>INDEX($Q$4:$Q$8,MATCH((AVERAGE(DASHBOARD!$C$7:$C$9)/DASHBOARD!$C12),$P$4:$P$8,1))</f>
        <v>4.4999999999999998E-2</v>
      </c>
      <c r="J12" s="51">
        <v>0.01</v>
      </c>
      <c r="K12" s="86">
        <f>100/2*28</f>
        <v>1400</v>
      </c>
      <c r="M12" s="52">
        <v>5400</v>
      </c>
      <c r="N12" s="53">
        <v>1.49</v>
      </c>
    </row>
    <row r="13" spans="1:17">
      <c r="D13" s="63" t="s">
        <v>22</v>
      </c>
      <c r="E13" s="51">
        <v>5.2</v>
      </c>
      <c r="F13" s="51">
        <v>7.28</v>
      </c>
      <c r="G13" s="51">
        <v>0.245</v>
      </c>
      <c r="H13" s="49">
        <f>INDEX($N$4:$N$29,MATCH(DASHBOARD!$F13,$M$4:$M$29,1))</f>
        <v>1.5649999999999999</v>
      </c>
      <c r="I13" s="49">
        <f>INDEX($Q$4:$Q$8,MATCH((AVERAGE(DASHBOARD!$C$7:$C$9)/DASHBOARD!$C13),$P$4:$P$8,1))</f>
        <v>4.4999999999999998E-2</v>
      </c>
      <c r="J13" s="51">
        <v>0.01</v>
      </c>
      <c r="K13" s="86">
        <f>100/2*31</f>
        <v>1550</v>
      </c>
      <c r="M13" s="52">
        <v>6100</v>
      </c>
      <c r="N13" s="53">
        <v>1.49</v>
      </c>
    </row>
    <row r="14" spans="1:17">
      <c r="D14" s="63" t="s">
        <v>23</v>
      </c>
      <c r="E14" s="51">
        <v>5.2</v>
      </c>
      <c r="F14" s="51">
        <v>7.28</v>
      </c>
      <c r="G14" s="51">
        <v>0.245</v>
      </c>
      <c r="H14" s="49">
        <f>INDEX($N$4:$N$29,MATCH(DASHBOARD!$F14,$M$4:$M$29,1))</f>
        <v>1.5649999999999999</v>
      </c>
      <c r="I14" s="49">
        <f>INDEX($Q$4:$Q$8,MATCH((AVERAGE(DASHBOARD!$C$7:$C$9)/DASHBOARD!$C14),$P$4:$P$8,1))</f>
        <v>4.4999999999999998E-2</v>
      </c>
      <c r="J14" s="51">
        <v>0.01</v>
      </c>
      <c r="K14" s="86">
        <f>100/2*30</f>
        <v>1500</v>
      </c>
      <c r="M14" s="52">
        <v>6800</v>
      </c>
      <c r="N14" s="53">
        <v>1.5649999999999999</v>
      </c>
    </row>
    <row r="15" spans="1:17">
      <c r="D15" s="63" t="s">
        <v>24</v>
      </c>
      <c r="E15" s="51">
        <v>5.2</v>
      </c>
      <c r="F15" s="51">
        <v>7.28</v>
      </c>
      <c r="G15" s="51">
        <v>0.245</v>
      </c>
      <c r="H15" s="49">
        <f>INDEX($N$4:$N$29,MATCH(DASHBOARD!$F15,$M$4:$M$29,1))</f>
        <v>1.5649999999999999</v>
      </c>
      <c r="I15" s="49">
        <f>INDEX($Q$4:$Q$8,MATCH((AVERAGE(DASHBOARD!$C$7:$C$9)/DASHBOARD!$C15),$P$4:$P$8,1))</f>
        <v>4.4999999999999998E-2</v>
      </c>
      <c r="J15" s="51">
        <v>0.01</v>
      </c>
      <c r="K15" s="86">
        <f>100/2*31</f>
        <v>1550</v>
      </c>
      <c r="M15" s="52">
        <v>7500</v>
      </c>
      <c r="N15" s="53">
        <v>1.65</v>
      </c>
    </row>
    <row r="16" spans="1:17" ht="15.75" thickBot="1">
      <c r="D16" s="65" t="s">
        <v>25</v>
      </c>
      <c r="E16" s="55">
        <v>5.2</v>
      </c>
      <c r="F16" s="55">
        <v>7.28</v>
      </c>
      <c r="G16" s="55">
        <v>0.22500000000000001</v>
      </c>
      <c r="H16" s="74">
        <f>INDEX($N$4:$N$29,MATCH(DASHBOARD!$F16,$M$4:$M$29,1))</f>
        <v>1.5649999999999999</v>
      </c>
      <c r="I16" s="74">
        <f>INDEX($Q$4:$Q$8,MATCH((AVERAGE(DASHBOARD!$C$7:$C$9)/DASHBOARD!$C16),$P$4:$P$8,1))</f>
        <v>4.4999999999999998E-2</v>
      </c>
      <c r="J16" s="55">
        <v>0.01</v>
      </c>
      <c r="K16" s="87">
        <f>100/2*31</f>
        <v>1550</v>
      </c>
      <c r="M16" s="52">
        <v>8200</v>
      </c>
      <c r="N16" s="53">
        <v>1.665</v>
      </c>
    </row>
    <row r="17" spans="4:14">
      <c r="M17" s="52">
        <v>8900</v>
      </c>
      <c r="N17" s="53">
        <v>1.87</v>
      </c>
    </row>
    <row r="18" spans="4:14">
      <c r="D18" t="s">
        <v>26</v>
      </c>
      <c r="K18" s="34" t="s">
        <v>241</v>
      </c>
      <c r="M18" s="52">
        <v>9700</v>
      </c>
      <c r="N18" s="53">
        <v>1.95</v>
      </c>
    </row>
    <row r="19" spans="4:14">
      <c r="M19" s="52">
        <v>10400</v>
      </c>
      <c r="N19" s="53">
        <v>2</v>
      </c>
    </row>
    <row r="20" spans="4:14">
      <c r="M20" s="52">
        <v>11100</v>
      </c>
      <c r="N20" s="53">
        <v>2.0449999999999999</v>
      </c>
    </row>
    <row r="21" spans="4:14">
      <c r="M21" s="52">
        <v>11800</v>
      </c>
      <c r="N21" s="53">
        <v>2.0499999999999998</v>
      </c>
    </row>
    <row r="22" spans="4:14">
      <c r="M22" s="52">
        <v>12500</v>
      </c>
      <c r="N22" s="53">
        <v>2.0499999999999998</v>
      </c>
    </row>
    <row r="23" spans="4:14">
      <c r="M23" s="52">
        <v>13200</v>
      </c>
      <c r="N23" s="53">
        <v>2.0499999999999998</v>
      </c>
    </row>
    <row r="24" spans="4:14">
      <c r="M24" s="52">
        <v>13900</v>
      </c>
      <c r="N24" s="53">
        <v>2.0499999999999998</v>
      </c>
    </row>
    <row r="25" spans="4:14">
      <c r="M25" s="52">
        <v>14700</v>
      </c>
      <c r="N25" s="53">
        <v>2.0499999999999998</v>
      </c>
    </row>
    <row r="26" spans="4:14">
      <c r="M26" s="52">
        <v>15400</v>
      </c>
      <c r="N26" s="53">
        <v>2.0499999999999998</v>
      </c>
    </row>
    <row r="27" spans="4:14">
      <c r="M27" s="52">
        <v>16100</v>
      </c>
      <c r="N27" s="53">
        <v>2.0499999999999998</v>
      </c>
    </row>
    <row r="28" spans="4:14">
      <c r="M28" s="52">
        <v>16800</v>
      </c>
      <c r="N28" s="53">
        <v>2.1</v>
      </c>
    </row>
    <row r="29" spans="4:14" ht="15.75" thickBot="1">
      <c r="M29" s="54">
        <v>17500</v>
      </c>
      <c r="N29" s="56">
        <v>2.1</v>
      </c>
    </row>
  </sheetData>
  <sheetProtection algorithmName="SHA-512" hashValue="Cx/WNNLeDaORyxkmS8BOxwSN8SBYQjhvZ7FhCSnB5sET1JAyovcDV3DNAdrTBAFMrQTrVzLjNcXNZcvKHGrNZA==" saltValue="Dke27EDyjZ1ANQytaYKwiQ==" spinCount="100000"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3E71E-779E-4F9F-9CF3-A78BF2ABC0F2}">
  <dimension ref="A1:Q29"/>
  <sheetViews>
    <sheetView topLeftCell="C1" workbookViewId="0">
      <selection activeCell="Q5" sqref="Q5"/>
    </sheetView>
  </sheetViews>
  <sheetFormatPr defaultRowHeight="15"/>
  <cols>
    <col min="4" max="4" width="10.85546875" bestFit="1" customWidth="1"/>
    <col min="5" max="5" width="15.7109375" customWidth="1"/>
    <col min="6" max="6" width="18.42578125" bestFit="1" customWidth="1"/>
    <col min="7" max="7" width="18.140625" bestFit="1" customWidth="1"/>
    <col min="8" max="8" width="17.28515625" customWidth="1"/>
    <col min="9" max="9" width="29" bestFit="1" customWidth="1"/>
    <col min="10" max="10" width="20.85546875" bestFit="1" customWidth="1"/>
    <col min="11" max="11" width="16.42578125" bestFit="1" customWidth="1"/>
    <col min="13" max="13" width="26.5703125" bestFit="1" customWidth="1"/>
    <col min="14" max="14" width="14.140625" bestFit="1" customWidth="1"/>
    <col min="16" max="16" width="14" bestFit="1" customWidth="1"/>
    <col min="17" max="17" width="32.28515625" bestFit="1" customWidth="1"/>
    <col min="18" max="18" width="14" bestFit="1" customWidth="1"/>
    <col min="19" max="19" width="32.28515625" bestFit="1" customWidth="1"/>
  </cols>
  <sheetData>
    <row r="1" spans="1:17">
      <c r="A1" t="s">
        <v>374</v>
      </c>
    </row>
    <row r="3" spans="1:17" ht="15.75" thickBot="1"/>
    <row r="4" spans="1:17" ht="30">
      <c r="D4" s="61" t="s">
        <v>7</v>
      </c>
      <c r="E4" s="71" t="s">
        <v>224</v>
      </c>
      <c r="F4" s="60" t="s">
        <v>225</v>
      </c>
      <c r="G4" s="60" t="s">
        <v>376</v>
      </c>
      <c r="H4" s="71" t="s">
        <v>373</v>
      </c>
      <c r="I4" s="60" t="s">
        <v>377</v>
      </c>
      <c r="J4" s="60" t="s">
        <v>378</v>
      </c>
      <c r="K4" s="58" t="s">
        <v>236</v>
      </c>
      <c r="M4" s="57" t="s">
        <v>380</v>
      </c>
      <c r="N4" s="58" t="s">
        <v>300</v>
      </c>
      <c r="P4" s="57" t="s">
        <v>381</v>
      </c>
      <c r="Q4" s="58" t="s">
        <v>382</v>
      </c>
    </row>
    <row r="5" spans="1:17">
      <c r="D5" s="63" t="s">
        <v>13</v>
      </c>
      <c r="E5" s="51">
        <v>4.9000000000000004</v>
      </c>
      <c r="F5" s="51">
        <v>6.86</v>
      </c>
      <c r="G5" s="51">
        <v>0.23499999999999999</v>
      </c>
      <c r="H5" s="49">
        <f>INDEX($N$4:$N$29,MATCH(DASHBOARD!$F5,$M$4:$M$29,1))</f>
        <v>1.5649999999999999</v>
      </c>
      <c r="I5" s="49">
        <v>0</v>
      </c>
      <c r="J5" s="51">
        <v>0</v>
      </c>
      <c r="K5" s="86">
        <f>100/2*31</f>
        <v>1550</v>
      </c>
      <c r="M5" s="52">
        <v>0</v>
      </c>
      <c r="N5" s="53">
        <v>0.50700000000000001</v>
      </c>
      <c r="P5" s="52">
        <v>0</v>
      </c>
      <c r="Q5" s="53">
        <v>4.4999999999999998E-2</v>
      </c>
    </row>
    <row r="6" spans="1:17">
      <c r="D6" s="63" t="s">
        <v>15</v>
      </c>
      <c r="E6" s="51">
        <v>4.9000000000000004</v>
      </c>
      <c r="F6" s="51">
        <v>6.86</v>
      </c>
      <c r="G6" s="51">
        <v>0.23499999999999999</v>
      </c>
      <c r="H6" s="49">
        <f>INDEX($N$4:$N$29,MATCH(DASHBOARD!$F6,$M$4:$M$29,1))</f>
        <v>1.5649999999999999</v>
      </c>
      <c r="I6" s="49">
        <v>0</v>
      </c>
      <c r="J6" s="51">
        <v>0</v>
      </c>
      <c r="K6" s="86">
        <f>100/2*31</f>
        <v>1550</v>
      </c>
      <c r="M6" s="52">
        <v>900</v>
      </c>
      <c r="N6" s="53">
        <v>0.62</v>
      </c>
      <c r="P6" s="52">
        <v>1.1001000000000001</v>
      </c>
      <c r="Q6" s="53">
        <v>0.03</v>
      </c>
    </row>
    <row r="7" spans="1:17">
      <c r="D7" s="63" t="s">
        <v>16</v>
      </c>
      <c r="E7" s="51">
        <v>4.9000000000000004</v>
      </c>
      <c r="F7" s="51">
        <v>6.86</v>
      </c>
      <c r="G7" s="51">
        <v>0.23499999999999999</v>
      </c>
      <c r="H7" s="49">
        <f>INDEX($N$4:$N$29,MATCH(DASHBOARD!$F7,$M$4:$M$29,1))</f>
        <v>1.5649999999999999</v>
      </c>
      <c r="I7" s="49">
        <v>0</v>
      </c>
      <c r="J7" s="51">
        <v>0</v>
      </c>
      <c r="K7" s="86">
        <f>100/2*30</f>
        <v>1500</v>
      </c>
      <c r="M7" s="52">
        <v>1800</v>
      </c>
      <c r="N7" s="53">
        <v>0.73399999999999999</v>
      </c>
      <c r="P7" s="52">
        <v>1.1500999999999999</v>
      </c>
      <c r="Q7" s="53">
        <v>1.4999999999999999E-2</v>
      </c>
    </row>
    <row r="8" spans="1:17" ht="15.75" thickBot="1">
      <c r="D8" s="63" t="s">
        <v>17</v>
      </c>
      <c r="E8" s="51">
        <v>4.9000000000000004</v>
      </c>
      <c r="F8" s="51">
        <v>6.86</v>
      </c>
      <c r="G8" s="51">
        <v>0.23499999999999999</v>
      </c>
      <c r="H8" s="49">
        <f>INDEX($N$4:$N$29,MATCH(DASHBOARD!$F8,$M$4:$M$29,1))</f>
        <v>1.5649999999999999</v>
      </c>
      <c r="I8" s="49">
        <v>0</v>
      </c>
      <c r="J8" s="51">
        <v>0</v>
      </c>
      <c r="K8" s="86">
        <f>100/2*31</f>
        <v>1550</v>
      </c>
      <c r="M8" s="52">
        <v>2500</v>
      </c>
      <c r="N8" s="53">
        <v>0.85</v>
      </c>
      <c r="P8" s="54">
        <v>1.2000999999999999</v>
      </c>
      <c r="Q8" s="56">
        <v>5.0000000000000001E-3</v>
      </c>
    </row>
    <row r="9" spans="1:17">
      <c r="D9" s="63" t="s">
        <v>18</v>
      </c>
      <c r="E9" s="51">
        <v>4.9000000000000004</v>
      </c>
      <c r="F9" s="51">
        <v>6.86</v>
      </c>
      <c r="G9" s="51">
        <v>0.23499999999999999</v>
      </c>
      <c r="H9" s="49">
        <f>INDEX($N$4:$N$29,MATCH(DASHBOARD!$F9,$M$4:$M$29,1))</f>
        <v>1.5649999999999999</v>
      </c>
      <c r="I9" s="49">
        <v>0</v>
      </c>
      <c r="J9" s="51">
        <v>0</v>
      </c>
      <c r="K9" s="86">
        <f>100/2*30</f>
        <v>1500</v>
      </c>
      <c r="M9" s="52">
        <v>3200</v>
      </c>
      <c r="N9" s="53">
        <v>1.35</v>
      </c>
    </row>
    <row r="10" spans="1:17">
      <c r="D10" s="63" t="s">
        <v>19</v>
      </c>
      <c r="E10" s="51">
        <v>4.9000000000000004</v>
      </c>
      <c r="F10" s="51">
        <v>6.86</v>
      </c>
      <c r="G10" s="51">
        <v>0.23499999999999999</v>
      </c>
      <c r="H10" s="49">
        <f>INDEX($N$4:$N$29,MATCH(DASHBOARD!$F10,$M$4:$M$29,1))</f>
        <v>1.5649999999999999</v>
      </c>
      <c r="I10" s="49">
        <v>0</v>
      </c>
      <c r="J10" s="51">
        <v>0</v>
      </c>
      <c r="K10" s="86">
        <f>100/2*31</f>
        <v>1550</v>
      </c>
      <c r="M10" s="52">
        <v>3900</v>
      </c>
      <c r="N10" s="53">
        <v>1.4650000000000001</v>
      </c>
    </row>
    <row r="11" spans="1:17">
      <c r="D11" s="63" t="s">
        <v>20</v>
      </c>
      <c r="E11" s="51">
        <v>5.2</v>
      </c>
      <c r="F11" s="51">
        <v>7.28</v>
      </c>
      <c r="G11" s="51">
        <v>0.245</v>
      </c>
      <c r="H11" s="49">
        <f>INDEX($N$4:$N$29,MATCH(DASHBOARD!$F11,$M$4:$M$29,1))</f>
        <v>1.5649999999999999</v>
      </c>
      <c r="I11" s="49">
        <f>INDEX($Q$4:$Q$8,MATCH((AVERAGE(DASHBOARD!$C$7:$C$9)/DASHBOARD!$C11),'Norco (North Region)'!$P$4:$P$8,1))</f>
        <v>4.4999999999999998E-2</v>
      </c>
      <c r="J11" s="51">
        <v>0.01</v>
      </c>
      <c r="K11" s="86">
        <f>100/2*31</f>
        <v>1550</v>
      </c>
      <c r="M11" s="52">
        <v>4600</v>
      </c>
      <c r="N11" s="53">
        <v>1.49</v>
      </c>
    </row>
    <row r="12" spans="1:17">
      <c r="D12" s="63" t="s">
        <v>21</v>
      </c>
      <c r="E12" s="51">
        <v>5.2</v>
      </c>
      <c r="F12" s="51">
        <v>7.28</v>
      </c>
      <c r="G12" s="51">
        <v>0.26500000000000001</v>
      </c>
      <c r="H12" s="49">
        <f>INDEX($N$4:$N$29,MATCH(DASHBOARD!$F12,$M$4:$M$29,1))</f>
        <v>1.5649999999999999</v>
      </c>
      <c r="I12" s="49">
        <f>INDEX($Q$4:$Q$8,MATCH((AVERAGE(DASHBOARD!$C$7:$C$9)/DASHBOARD!$C12),'Norco (North Region)'!$P$4:$P$8,1))</f>
        <v>4.4999999999999998E-2</v>
      </c>
      <c r="J12" s="51">
        <v>0.01</v>
      </c>
      <c r="K12" s="86">
        <f>100/2*28</f>
        <v>1400</v>
      </c>
      <c r="M12" s="52">
        <v>5400</v>
      </c>
      <c r="N12" s="53">
        <v>1.49</v>
      </c>
    </row>
    <row r="13" spans="1:17">
      <c r="D13" s="63" t="s">
        <v>22</v>
      </c>
      <c r="E13" s="51">
        <v>5.2</v>
      </c>
      <c r="F13" s="51">
        <v>7.28</v>
      </c>
      <c r="G13" s="51">
        <v>0.26500000000000001</v>
      </c>
      <c r="H13" s="49">
        <f>INDEX($N$4:$N$29,MATCH(DASHBOARD!$F13,$M$4:$M$29,1))</f>
        <v>1.5649999999999999</v>
      </c>
      <c r="I13" s="49">
        <f>INDEX($Q$4:$Q$8,MATCH((AVERAGE(DASHBOARD!$C$7:$C$9)/DASHBOARD!$C13),'Norco (North Region)'!$P$4:$P$8,1))</f>
        <v>4.4999999999999998E-2</v>
      </c>
      <c r="J13" s="51">
        <v>0.01</v>
      </c>
      <c r="K13" s="86">
        <f>100/2*31</f>
        <v>1550</v>
      </c>
      <c r="M13" s="52">
        <v>6100</v>
      </c>
      <c r="N13" s="53">
        <v>1.49</v>
      </c>
    </row>
    <row r="14" spans="1:17">
      <c r="D14" s="63" t="s">
        <v>23</v>
      </c>
      <c r="E14" s="51">
        <v>5.2</v>
      </c>
      <c r="F14" s="51">
        <v>7.28</v>
      </c>
      <c r="G14" s="51">
        <v>0.26500000000000001</v>
      </c>
      <c r="H14" s="49">
        <f>INDEX($N$4:$N$29,MATCH(DASHBOARD!$F14,$M$4:$M$29,1))</f>
        <v>1.5649999999999999</v>
      </c>
      <c r="I14" s="49">
        <f>INDEX($Q$4:$Q$8,MATCH((AVERAGE(DASHBOARD!$C$7:$C$9)/DASHBOARD!$C14),'Norco (North Region)'!$P$4:$P$8,1))</f>
        <v>4.4999999999999998E-2</v>
      </c>
      <c r="J14" s="51">
        <v>0.01</v>
      </c>
      <c r="K14" s="86">
        <f>100/2*30</f>
        <v>1500</v>
      </c>
      <c r="M14" s="52">
        <v>6800</v>
      </c>
      <c r="N14" s="53">
        <v>1.5649999999999999</v>
      </c>
    </row>
    <row r="15" spans="1:17">
      <c r="D15" s="63" t="s">
        <v>24</v>
      </c>
      <c r="E15" s="51">
        <v>5.2</v>
      </c>
      <c r="F15" s="51">
        <v>7.28</v>
      </c>
      <c r="G15" s="51">
        <v>0.26500000000000001</v>
      </c>
      <c r="H15" s="49">
        <f>INDEX($N$4:$N$29,MATCH(DASHBOARD!$F15,$M$4:$M$29,1))</f>
        <v>1.5649999999999999</v>
      </c>
      <c r="I15" s="49">
        <f>INDEX($Q$4:$Q$8,MATCH((AVERAGE(DASHBOARD!$C$7:$C$9)/DASHBOARD!$C15),'Norco (North Region)'!$P$4:$P$8,1))</f>
        <v>4.4999999999999998E-2</v>
      </c>
      <c r="J15" s="51">
        <v>0.01</v>
      </c>
      <c r="K15" s="86">
        <f>100/2*31</f>
        <v>1550</v>
      </c>
      <c r="M15" s="52">
        <v>7500</v>
      </c>
      <c r="N15" s="53">
        <v>1.65</v>
      </c>
    </row>
    <row r="16" spans="1:17" ht="15.75" thickBot="1">
      <c r="D16" s="65" t="s">
        <v>25</v>
      </c>
      <c r="E16" s="55">
        <v>5.2</v>
      </c>
      <c r="F16" s="55">
        <v>7.28</v>
      </c>
      <c r="G16" s="55">
        <v>0.245</v>
      </c>
      <c r="H16" s="74">
        <f>INDEX($N$4:$N$29,MATCH(DASHBOARD!$F16,$M$4:$M$29,1))</f>
        <v>1.5649999999999999</v>
      </c>
      <c r="I16" s="74">
        <f>INDEX($Q$4:$Q$8,MATCH((AVERAGE(DASHBOARD!$C$7:$C$9)/DASHBOARD!$C16),'Norco (North Region)'!$P$4:$P$8,1))</f>
        <v>4.4999999999999998E-2</v>
      </c>
      <c r="J16" s="55">
        <v>0.01</v>
      </c>
      <c r="K16" s="87">
        <f>100/2*31</f>
        <v>1550</v>
      </c>
      <c r="M16" s="52">
        <v>8200</v>
      </c>
      <c r="N16" s="53">
        <v>1.665</v>
      </c>
    </row>
    <row r="17" spans="4:14">
      <c r="M17" s="52">
        <v>8900</v>
      </c>
      <c r="N17" s="53">
        <v>1.87</v>
      </c>
    </row>
    <row r="18" spans="4:14">
      <c r="D18" t="s">
        <v>26</v>
      </c>
      <c r="K18" s="34" t="s">
        <v>241</v>
      </c>
      <c r="M18" s="52">
        <v>9700</v>
      </c>
      <c r="N18" s="53">
        <v>1.95</v>
      </c>
    </row>
    <row r="19" spans="4:14">
      <c r="M19" s="52">
        <v>10400</v>
      </c>
      <c r="N19" s="53">
        <v>2</v>
      </c>
    </row>
    <row r="20" spans="4:14">
      <c r="M20" s="52">
        <v>11100</v>
      </c>
      <c r="N20" s="53">
        <v>2.0449999999999999</v>
      </c>
    </row>
    <row r="21" spans="4:14">
      <c r="M21" s="52">
        <v>11800</v>
      </c>
      <c r="N21" s="53">
        <v>2.0499999999999998</v>
      </c>
    </row>
    <row r="22" spans="4:14">
      <c r="M22" s="52">
        <v>12500</v>
      </c>
      <c r="N22" s="53">
        <v>2.0499999999999998</v>
      </c>
    </row>
    <row r="23" spans="4:14">
      <c r="M23" s="52">
        <v>13200</v>
      </c>
      <c r="N23" s="53">
        <v>2.0499999999999998</v>
      </c>
    </row>
    <row r="24" spans="4:14">
      <c r="M24" s="52">
        <v>13900</v>
      </c>
      <c r="N24" s="53">
        <v>2.0499999999999998</v>
      </c>
    </row>
    <row r="25" spans="4:14">
      <c r="M25" s="52">
        <v>14700</v>
      </c>
      <c r="N25" s="53">
        <v>2.0499999999999998</v>
      </c>
    </row>
    <row r="26" spans="4:14">
      <c r="M26" s="52">
        <v>15400</v>
      </c>
      <c r="N26" s="53">
        <v>2.0499999999999998</v>
      </c>
    </row>
    <row r="27" spans="4:14">
      <c r="M27" s="52">
        <v>16100</v>
      </c>
      <c r="N27" s="53">
        <v>2.0499999999999998</v>
      </c>
    </row>
    <row r="28" spans="4:14">
      <c r="M28" s="52">
        <v>16800</v>
      </c>
      <c r="N28" s="53">
        <v>2.1</v>
      </c>
    </row>
    <row r="29" spans="4:14" ht="15.75" thickBot="1">
      <c r="M29" s="54">
        <v>17500</v>
      </c>
      <c r="N29" s="56">
        <v>2.1</v>
      </c>
    </row>
  </sheetData>
  <sheetProtection algorithmName="SHA-512" hashValue="lvoGqlnv6Vtpx6h5V21cB3+v5dih1VccsXE7typLZiVjCL2YMy9IO/2AfhJwvUeBp7WiKsepFr5zQ7tOy8jRvQ==" saltValue="ipYN+xr1Ssh2EPzhWvGOHg==" spinCount="100000" sheet="1" objects="1" scenarios="1"/>
  <pageMargins left="0.7" right="0.7" top="0.75" bottom="0.75" header="0.3" footer="0.3"/>
  <ignoredErrors>
    <ignoredError sqref="K7 K9 K12 K14" formula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497B-9475-4A0E-BE3C-2E1E575EA984}">
  <dimension ref="A1:D15"/>
  <sheetViews>
    <sheetView workbookViewId="0">
      <selection activeCell="D4" sqref="D4"/>
    </sheetView>
  </sheetViews>
  <sheetFormatPr defaultRowHeight="15"/>
  <cols>
    <col min="3" max="3" width="14.85546875" customWidth="1"/>
    <col min="4" max="4" width="18.42578125" bestFit="1" customWidth="1"/>
  </cols>
  <sheetData>
    <row r="1" spans="1:4">
      <c r="A1" t="s">
        <v>383</v>
      </c>
    </row>
    <row r="2" spans="1:4" ht="15.75" thickBot="1"/>
    <row r="3" spans="1:4" ht="30">
      <c r="B3" s="61" t="s">
        <v>7</v>
      </c>
      <c r="C3" s="71" t="s">
        <v>224</v>
      </c>
      <c r="D3" s="58" t="s">
        <v>225</v>
      </c>
    </row>
    <row r="4" spans="1:4">
      <c r="B4" s="63" t="s">
        <v>13</v>
      </c>
      <c r="C4" s="51">
        <v>5.61</v>
      </c>
      <c r="D4" s="53">
        <v>11.21</v>
      </c>
    </row>
    <row r="5" spans="1:4">
      <c r="B5" s="63" t="s">
        <v>15</v>
      </c>
      <c r="C5" s="51">
        <v>5.61</v>
      </c>
      <c r="D5" s="53">
        <v>11.21</v>
      </c>
    </row>
    <row r="6" spans="1:4">
      <c r="B6" s="63" t="s">
        <v>16</v>
      </c>
      <c r="C6" s="51">
        <v>5.61</v>
      </c>
      <c r="D6" s="53">
        <v>11.21</v>
      </c>
    </row>
    <row r="7" spans="1:4">
      <c r="B7" s="63" t="s">
        <v>17</v>
      </c>
      <c r="C7" s="51">
        <v>5.61</v>
      </c>
      <c r="D7" s="53">
        <v>11.21</v>
      </c>
    </row>
    <row r="8" spans="1:4">
      <c r="B8" s="63" t="s">
        <v>18</v>
      </c>
      <c r="C8" s="51">
        <v>5.61</v>
      </c>
      <c r="D8" s="53">
        <v>11.21</v>
      </c>
    </row>
    <row r="9" spans="1:4">
      <c r="B9" s="63" t="s">
        <v>19</v>
      </c>
      <c r="C9" s="51">
        <v>5.61</v>
      </c>
      <c r="D9" s="53">
        <v>11.21</v>
      </c>
    </row>
    <row r="10" spans="1:4">
      <c r="B10" s="63" t="s">
        <v>20</v>
      </c>
      <c r="C10" s="51">
        <v>5.61</v>
      </c>
      <c r="D10" s="53">
        <v>11.21</v>
      </c>
    </row>
    <row r="11" spans="1:4">
      <c r="B11" s="63" t="s">
        <v>21</v>
      </c>
      <c r="C11" s="51">
        <v>5.61</v>
      </c>
      <c r="D11" s="53">
        <v>11.21</v>
      </c>
    </row>
    <row r="12" spans="1:4">
      <c r="B12" s="63" t="s">
        <v>22</v>
      </c>
      <c r="C12" s="51">
        <v>5.61</v>
      </c>
      <c r="D12" s="53">
        <v>11.21</v>
      </c>
    </row>
    <row r="13" spans="1:4">
      <c r="B13" s="63" t="s">
        <v>23</v>
      </c>
      <c r="C13" s="51">
        <v>5.61</v>
      </c>
      <c r="D13" s="53">
        <v>11.21</v>
      </c>
    </row>
    <row r="14" spans="1:4">
      <c r="B14" s="63" t="s">
        <v>24</v>
      </c>
      <c r="C14" s="51">
        <v>5.61</v>
      </c>
      <c r="D14" s="53">
        <v>11.21</v>
      </c>
    </row>
    <row r="15" spans="1:4" ht="15.75" thickBot="1">
      <c r="B15" s="65" t="s">
        <v>25</v>
      </c>
      <c r="C15" s="55">
        <v>5.61</v>
      </c>
      <c r="D15" s="56">
        <v>11.21</v>
      </c>
    </row>
  </sheetData>
  <sheetProtection algorithmName="SHA-512" hashValue="la2g6wXBJZAzyuuhYxwhtWoM9SFHTwAgjRP10IFSwhjht6As53aZsZGAhcsM2yIbf/Qs3Tv1lELlaWCtDsDZMQ==" saltValue="7arWQCozbv5YUfCV/t6Lng==" spinCount="100000"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758C-1E05-464E-9952-DFA0DF3D42E9}">
  <dimension ref="A1:L18"/>
  <sheetViews>
    <sheetView topLeftCell="C1" workbookViewId="0">
      <selection activeCell="J5" sqref="J5"/>
    </sheetView>
  </sheetViews>
  <sheetFormatPr defaultRowHeight="15"/>
  <cols>
    <col min="2" max="2" width="10.85546875" bestFit="1" customWidth="1"/>
    <col min="4" max="4" width="18.42578125" bestFit="1" customWidth="1"/>
    <col min="5" max="5" width="23.85546875" customWidth="1"/>
    <col min="6" max="6" width="23.7109375" customWidth="1"/>
    <col min="8" max="8" width="26.28515625" bestFit="1" customWidth="1"/>
    <col min="10" max="10" width="12.5703125" bestFit="1" customWidth="1"/>
    <col min="11" max="11" width="19.42578125" bestFit="1" customWidth="1"/>
    <col min="12" max="12" width="18" bestFit="1" customWidth="1"/>
    <col min="15" max="15" width="11.28515625" bestFit="1" customWidth="1"/>
    <col min="16" max="16" width="19.42578125" bestFit="1" customWidth="1"/>
    <col min="17" max="17" width="18" bestFit="1" customWidth="1"/>
  </cols>
  <sheetData>
    <row r="1" spans="1:12">
      <c r="A1" t="s">
        <v>384</v>
      </c>
    </row>
    <row r="3" spans="1:12" ht="15.75" thickBot="1"/>
    <row r="4" spans="1:12" ht="45">
      <c r="B4" s="61" t="s">
        <v>7</v>
      </c>
      <c r="C4" s="71" t="s">
        <v>224</v>
      </c>
      <c r="D4" s="60" t="s">
        <v>225</v>
      </c>
      <c r="E4" s="71" t="s">
        <v>385</v>
      </c>
      <c r="F4" s="71" t="s">
        <v>386</v>
      </c>
      <c r="G4" s="60" t="s">
        <v>236</v>
      </c>
      <c r="H4" s="58" t="s">
        <v>387</v>
      </c>
      <c r="J4" s="57" t="s">
        <v>388</v>
      </c>
      <c r="K4" s="60" t="s">
        <v>239</v>
      </c>
      <c r="L4" s="58" t="s">
        <v>240</v>
      </c>
    </row>
    <row r="5" spans="1:12">
      <c r="B5" s="63" t="s">
        <v>13</v>
      </c>
      <c r="C5" s="51">
        <v>5.46</v>
      </c>
      <c r="D5" s="51">
        <v>11.9</v>
      </c>
      <c r="E5" s="49">
        <f>INDEX($K$4:$K$12,MATCH(DASHBOARD!$F5,$J$4:$J$12,1))</f>
        <v>0.1</v>
      </c>
      <c r="F5" s="49">
        <f>INDEX($L$4:$L$12,MATCH(DASHBOARD!$F5,$J$4:$J$12,1))</f>
        <v>0.22</v>
      </c>
      <c r="G5" s="85">
        <f>11.42*31</f>
        <v>354.02</v>
      </c>
      <c r="H5" s="86">
        <v>0.03</v>
      </c>
      <c r="J5" s="52">
        <v>0</v>
      </c>
      <c r="K5" s="51">
        <v>0</v>
      </c>
      <c r="L5" s="53">
        <v>0</v>
      </c>
    </row>
    <row r="6" spans="1:12">
      <c r="B6" s="63" t="s">
        <v>15</v>
      </c>
      <c r="C6" s="51">
        <v>4.6399999999999997</v>
      </c>
      <c r="D6" s="51">
        <v>10.11</v>
      </c>
      <c r="E6" s="49">
        <f>INDEX($K$4:$K$12,MATCH(DASHBOARD!$F6,$J$4:$J$12,1))</f>
        <v>0.1</v>
      </c>
      <c r="F6" s="49">
        <f>INDEX($L$4:$L$12,MATCH(DASHBOARD!$F6,$J$4:$J$12,1))</f>
        <v>0.22</v>
      </c>
      <c r="G6" s="85">
        <f>11.42*31</f>
        <v>354.02</v>
      </c>
      <c r="H6" s="86">
        <v>0.03</v>
      </c>
      <c r="J6" s="52">
        <v>2001</v>
      </c>
      <c r="K6" s="51">
        <v>0.05</v>
      </c>
      <c r="L6" s="53">
        <v>0.11</v>
      </c>
    </row>
    <row r="7" spans="1:12">
      <c r="B7" s="63" t="s">
        <v>16</v>
      </c>
      <c r="C7" s="51">
        <v>4.6399999999999997</v>
      </c>
      <c r="D7" s="51">
        <v>10.11</v>
      </c>
      <c r="E7" s="49">
        <f>INDEX($K$4:$K$12,MATCH(DASHBOARD!$F7,$J$4:$J$12,1))</f>
        <v>0.1</v>
      </c>
      <c r="F7" s="49">
        <f>INDEX($L$4:$L$12,MATCH(DASHBOARD!$F7,$J$4:$J$12,1))</f>
        <v>0.22</v>
      </c>
      <c r="G7" s="85">
        <f>11.42*30</f>
        <v>342.6</v>
      </c>
      <c r="H7" s="86">
        <v>0.03</v>
      </c>
      <c r="J7" s="52">
        <v>5001</v>
      </c>
      <c r="K7" s="51">
        <v>0.1</v>
      </c>
      <c r="L7" s="53">
        <v>0.22</v>
      </c>
    </row>
    <row r="8" spans="1:12">
      <c r="B8" s="63" t="s">
        <v>17</v>
      </c>
      <c r="C8" s="51">
        <v>4.6399999999999997</v>
      </c>
      <c r="D8" s="51">
        <v>10.11</v>
      </c>
      <c r="E8" s="49">
        <f>INDEX($K$4:$K$12,MATCH(DASHBOARD!$F8,$J$4:$J$12,1))</f>
        <v>0.1</v>
      </c>
      <c r="F8" s="49">
        <f>INDEX($L$4:$L$12,MATCH(DASHBOARD!$F8,$J$4:$J$12,1))</f>
        <v>0.22</v>
      </c>
      <c r="G8" s="85">
        <f>11.42*31</f>
        <v>354.02</v>
      </c>
      <c r="H8" s="86">
        <v>0.03</v>
      </c>
      <c r="J8" s="52">
        <v>9001</v>
      </c>
      <c r="K8" s="51">
        <v>0.12</v>
      </c>
      <c r="L8" s="53">
        <v>0.26</v>
      </c>
    </row>
    <row r="9" spans="1:12">
      <c r="B9" s="63" t="s">
        <v>18</v>
      </c>
      <c r="C9" s="51">
        <v>4.6399999999999997</v>
      </c>
      <c r="D9" s="51">
        <v>10.11</v>
      </c>
      <c r="E9" s="49">
        <f>INDEX($K$4:$K$12,MATCH(DASHBOARD!$F9,$J$4:$J$12,1))</f>
        <v>0.1</v>
      </c>
      <c r="F9" s="49">
        <f>INDEX($L$4:$L$12,MATCH(DASHBOARD!$F9,$J$4:$J$12,1))</f>
        <v>0.22</v>
      </c>
      <c r="G9" s="85">
        <f>11.42*30</f>
        <v>342.6</v>
      </c>
      <c r="H9" s="86">
        <v>0.03</v>
      </c>
      <c r="J9" s="52">
        <v>14001</v>
      </c>
      <c r="K9" s="51">
        <v>0.17</v>
      </c>
      <c r="L9" s="53">
        <v>0.37</v>
      </c>
    </row>
    <row r="10" spans="1:12">
      <c r="B10" s="63" t="s">
        <v>19</v>
      </c>
      <c r="C10" s="51">
        <v>5.46</v>
      </c>
      <c r="D10" s="51">
        <v>11.9</v>
      </c>
      <c r="E10" s="49">
        <f>INDEX($K$4:$K$12,MATCH(DASHBOARD!$F10,$J$4:$J$12,1))</f>
        <v>0.1</v>
      </c>
      <c r="F10" s="49">
        <f>INDEX($L$4:$L$12,MATCH(DASHBOARD!$F10,$J$4:$J$12,1))</f>
        <v>0.22</v>
      </c>
      <c r="G10" s="85">
        <f>11.42*31</f>
        <v>354.02</v>
      </c>
      <c r="H10" s="86">
        <v>0.03</v>
      </c>
      <c r="J10" s="52">
        <v>19001</v>
      </c>
      <c r="K10" s="51">
        <v>0.21</v>
      </c>
      <c r="L10" s="53">
        <v>0.46</v>
      </c>
    </row>
    <row r="11" spans="1:12">
      <c r="B11" s="63" t="s">
        <v>20</v>
      </c>
      <c r="C11" s="51">
        <v>5.46</v>
      </c>
      <c r="D11" s="51">
        <v>11.9</v>
      </c>
      <c r="E11" s="49">
        <f>INDEX($K$4:$K$12,MATCH(DASHBOARD!$F11,$J$4:$J$12,1))</f>
        <v>0.1</v>
      </c>
      <c r="F11" s="49">
        <f>INDEX($L$4:$L$12,MATCH(DASHBOARD!$F11,$J$4:$J$12,1))</f>
        <v>0.22</v>
      </c>
      <c r="G11" s="85">
        <f>11.42*31</f>
        <v>354.02</v>
      </c>
      <c r="H11" s="86">
        <v>0.03</v>
      </c>
      <c r="J11" s="52">
        <v>24001</v>
      </c>
      <c r="K11" s="51">
        <v>0.25</v>
      </c>
      <c r="L11" s="53">
        <v>0.55000000000000004</v>
      </c>
    </row>
    <row r="12" spans="1:12" ht="15.75" thickBot="1">
      <c r="B12" s="63" t="s">
        <v>21</v>
      </c>
      <c r="C12" s="51">
        <v>5.46</v>
      </c>
      <c r="D12" s="51">
        <v>11.9</v>
      </c>
      <c r="E12" s="49">
        <f>INDEX($K$4:$K$12,MATCH(DASHBOARD!$F12,$J$4:$J$12,1))</f>
        <v>0.1</v>
      </c>
      <c r="F12" s="49">
        <f>INDEX($L$4:$L$12,MATCH(DASHBOARD!$F12,$J$4:$J$12,1))</f>
        <v>0.22</v>
      </c>
      <c r="G12" s="85">
        <f>11.42*28</f>
        <v>319.76</v>
      </c>
      <c r="H12" s="86">
        <v>0.03</v>
      </c>
      <c r="J12" s="54">
        <v>35001</v>
      </c>
      <c r="K12" s="55">
        <v>0.3</v>
      </c>
      <c r="L12" s="56">
        <v>0.66</v>
      </c>
    </row>
    <row r="13" spans="1:12">
      <c r="B13" s="63" t="s">
        <v>22</v>
      </c>
      <c r="C13" s="51">
        <v>5.46</v>
      </c>
      <c r="D13" s="51">
        <v>11.9</v>
      </c>
      <c r="E13" s="49">
        <f>INDEX($K$4:$K$12,MATCH(DASHBOARD!$F13,$J$4:$J$12,1))</f>
        <v>0.1</v>
      </c>
      <c r="F13" s="49">
        <f>INDEX($L$4:$L$12,MATCH(DASHBOARD!$F13,$J$4:$J$12,1))</f>
        <v>0.22</v>
      </c>
      <c r="G13" s="85">
        <f>11.42*31</f>
        <v>354.02</v>
      </c>
      <c r="H13" s="86">
        <v>0.03</v>
      </c>
    </row>
    <row r="14" spans="1:12">
      <c r="B14" s="63" t="s">
        <v>23</v>
      </c>
      <c r="C14" s="51">
        <v>5.46</v>
      </c>
      <c r="D14" s="51">
        <v>11.9</v>
      </c>
      <c r="E14" s="49">
        <f>INDEX($K$4:$K$12,MATCH(DASHBOARD!$F14,$J$4:$J$12,1))</f>
        <v>0.1</v>
      </c>
      <c r="F14" s="49">
        <f>INDEX($L$4:$L$12,MATCH(DASHBOARD!$F14,$J$4:$J$12,1))</f>
        <v>0.22</v>
      </c>
      <c r="G14" s="85">
        <f>11.42*30</f>
        <v>342.6</v>
      </c>
      <c r="H14" s="86">
        <v>0.03</v>
      </c>
    </row>
    <row r="15" spans="1:12">
      <c r="B15" s="63" t="s">
        <v>24</v>
      </c>
      <c r="C15" s="51">
        <v>5.46</v>
      </c>
      <c r="D15" s="51">
        <v>11.9</v>
      </c>
      <c r="E15" s="49">
        <f>INDEX($K$4:$K$12,MATCH(DASHBOARD!$F15,$J$4:$J$12,1))</f>
        <v>0.1</v>
      </c>
      <c r="F15" s="49">
        <f>INDEX($L$4:$L$12,MATCH(DASHBOARD!$F15,$J$4:$J$12,1))</f>
        <v>0.22</v>
      </c>
      <c r="G15" s="85">
        <f>11.42*31</f>
        <v>354.02</v>
      </c>
      <c r="H15" s="86">
        <v>0.03</v>
      </c>
    </row>
    <row r="16" spans="1:12" ht="15.75" thickBot="1">
      <c r="B16" s="65" t="s">
        <v>25</v>
      </c>
      <c r="C16" s="55">
        <v>5.46</v>
      </c>
      <c r="D16" s="55">
        <v>11.9</v>
      </c>
      <c r="E16" s="74">
        <f>INDEX($K$4:$K$12,MATCH(DASHBOARD!$F16,$J$4:$J$12,1))</f>
        <v>0.1</v>
      </c>
      <c r="F16" s="74">
        <f>INDEX($L$4:$L$12,MATCH(DASHBOARD!$F16,$J$4:$J$12,1))</f>
        <v>0.22</v>
      </c>
      <c r="G16" s="113">
        <f>11.42*31</f>
        <v>354.02</v>
      </c>
      <c r="H16" s="87">
        <v>0.03</v>
      </c>
    </row>
    <row r="18" spans="8:8">
      <c r="H18" s="34" t="s">
        <v>241</v>
      </c>
    </row>
  </sheetData>
  <sheetProtection algorithmName="SHA-512" hashValue="VXFzMBMg5exctVyNFmQqmpdFoq6YGThJq04jIXXjWLvELuJ7lVW0vI6XPUt5keSv9rkacBUb3Tw82QoWSPGrcw==" saltValue="qWlXzxJLP1BKYi7ufxnCiA==" spinCount="100000" sheet="1" objects="1" scenarios="1"/>
  <pageMargins left="0.7" right="0.7" top="0.75" bottom="0.75" header="0.3" footer="0.3"/>
  <ignoredErrors>
    <ignoredError sqref="G7 G9 G12 G14" formula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5BF0-C098-46F0-8FA8-D7C996B2C07B}">
  <dimension ref="A1:T35"/>
  <sheetViews>
    <sheetView topLeftCell="A3" workbookViewId="0">
      <selection activeCell="C23" sqref="C23"/>
    </sheetView>
  </sheetViews>
  <sheetFormatPr defaultRowHeight="15"/>
  <cols>
    <col min="2" max="2" width="10.85546875" bestFit="1" customWidth="1"/>
    <col min="5" max="5" width="31.7109375" customWidth="1"/>
    <col min="6" max="6" width="30.28515625" bestFit="1" customWidth="1"/>
    <col min="7" max="7" width="15.140625" customWidth="1"/>
    <col min="8" max="8" width="12.7109375" customWidth="1"/>
    <col min="10" max="10" width="14.42578125" bestFit="1" customWidth="1"/>
    <col min="11" max="11" width="28" bestFit="1" customWidth="1"/>
    <col min="12" max="12" width="26.5703125" bestFit="1" customWidth="1"/>
    <col min="13" max="13" width="28" bestFit="1" customWidth="1"/>
    <col min="14" max="14" width="26.5703125" bestFit="1" customWidth="1"/>
    <col min="15" max="15" width="21.85546875" bestFit="1" customWidth="1"/>
  </cols>
  <sheetData>
    <row r="1" spans="1:20" ht="15.75">
      <c r="A1" s="31" t="s">
        <v>389</v>
      </c>
    </row>
    <row r="2" spans="1:20" ht="15.75" thickBot="1">
      <c r="B2" s="1"/>
      <c r="C2" s="1"/>
      <c r="D2" s="1"/>
      <c r="E2" s="1"/>
      <c r="H2" s="1"/>
      <c r="I2" s="1"/>
      <c r="J2" s="1"/>
      <c r="K2" s="1"/>
    </row>
    <row r="3" spans="1:20" ht="45">
      <c r="A3" s="136" t="s">
        <v>317</v>
      </c>
      <c r="B3" s="61" t="s">
        <v>7</v>
      </c>
      <c r="C3" s="71" t="s">
        <v>224</v>
      </c>
      <c r="D3" s="71" t="s">
        <v>225</v>
      </c>
      <c r="E3" s="117" t="s">
        <v>390</v>
      </c>
      <c r="F3" s="117" t="s">
        <v>391</v>
      </c>
      <c r="G3" s="71" t="s">
        <v>392</v>
      </c>
      <c r="H3" s="62" t="s">
        <v>393</v>
      </c>
      <c r="J3" s="98" t="s">
        <v>370</v>
      </c>
      <c r="K3" s="115" t="s">
        <v>292</v>
      </c>
      <c r="L3" s="116" t="s">
        <v>293</v>
      </c>
    </row>
    <row r="4" spans="1:20">
      <c r="B4" s="63" t="s">
        <v>13</v>
      </c>
      <c r="C4" s="51">
        <v>5.81</v>
      </c>
      <c r="D4" s="51">
        <v>11.62</v>
      </c>
      <c r="E4" s="101">
        <f t="shared" ref="E4:E15" si="0">INDEX($K$18:$K$21,MATCH($H$19,$J$18:$J$21,1))</f>
        <v>0.17</v>
      </c>
      <c r="F4" s="101">
        <f t="shared" ref="F4:F15" si="1">INDEX($L$18:$L$21,MATCH($H$19,$J$18:$J$21,1))</f>
        <v>0.34</v>
      </c>
      <c r="G4" s="49">
        <f>INDEX($K$3:$K$16,MATCH(DASHBOARD!$F5,$J$3:$J$16,1))</f>
        <v>0.06</v>
      </c>
      <c r="H4" s="64">
        <f>INDEX($L$3:$L$16,MATCH(DASHBOARD!$F5,$J$3:$J$16,1))</f>
        <v>0.12</v>
      </c>
      <c r="J4" s="92">
        <v>0</v>
      </c>
      <c r="K4" s="93">
        <v>0.01</v>
      </c>
      <c r="L4" s="53">
        <v>0.02</v>
      </c>
    </row>
    <row r="5" spans="1:20">
      <c r="B5" s="63" t="s">
        <v>15</v>
      </c>
      <c r="C5" s="51">
        <v>5.0199999999999996</v>
      </c>
      <c r="D5" s="51">
        <v>10.039999999999999</v>
      </c>
      <c r="E5" s="101">
        <f t="shared" si="0"/>
        <v>0.17</v>
      </c>
      <c r="F5" s="101">
        <f t="shared" si="1"/>
        <v>0.34</v>
      </c>
      <c r="G5" s="49">
        <f>INDEX($K$3:$K$16,MATCH(DASHBOARD!$F6,$J$3:$J$16,1))</f>
        <v>0.06</v>
      </c>
      <c r="H5" s="64">
        <f>INDEX($L$3:$L$16,MATCH(DASHBOARD!$F6,$J$3:$J$16,1))</f>
        <v>0.12</v>
      </c>
      <c r="J5" s="92">
        <v>1501</v>
      </c>
      <c r="K5" s="93">
        <v>0.02</v>
      </c>
      <c r="L5" s="53">
        <v>0.04</v>
      </c>
    </row>
    <row r="6" spans="1:20">
      <c r="B6" s="63" t="s">
        <v>16</v>
      </c>
      <c r="C6" s="51">
        <v>5.0199999999999996</v>
      </c>
      <c r="D6" s="51">
        <v>10.039999999999999</v>
      </c>
      <c r="E6" s="101">
        <f t="shared" si="0"/>
        <v>0.17</v>
      </c>
      <c r="F6" s="101">
        <f t="shared" si="1"/>
        <v>0.34</v>
      </c>
      <c r="G6" s="49">
        <f>INDEX($K$3:$K$16,MATCH(DASHBOARD!$F7,$J$3:$J$16,1))</f>
        <v>0.06</v>
      </c>
      <c r="H6" s="64">
        <f>INDEX($L$3:$L$16,MATCH(DASHBOARD!$F7,$J$3:$J$16,1))</f>
        <v>0.12</v>
      </c>
      <c r="J6" s="92">
        <v>4101</v>
      </c>
      <c r="K6" s="93">
        <v>0.03</v>
      </c>
      <c r="L6" s="53">
        <v>0.06</v>
      </c>
      <c r="T6" s="4"/>
    </row>
    <row r="7" spans="1:20">
      <c r="B7" s="63" t="s">
        <v>17</v>
      </c>
      <c r="C7" s="51">
        <v>5.0199999999999996</v>
      </c>
      <c r="D7" s="51">
        <v>10.039999999999999</v>
      </c>
      <c r="E7" s="101">
        <f t="shared" si="0"/>
        <v>0.17</v>
      </c>
      <c r="F7" s="101">
        <f t="shared" si="1"/>
        <v>0.34</v>
      </c>
      <c r="G7" s="49">
        <f>INDEX($K$3:$K$16,MATCH(DASHBOARD!$F8,$J$3:$J$16,1))</f>
        <v>0.06</v>
      </c>
      <c r="H7" s="64">
        <f>INDEX($L$3:$L$16,MATCH(DASHBOARD!$F8,$J$3:$J$16,1))</f>
        <v>0.12</v>
      </c>
      <c r="J7" s="92">
        <v>5801</v>
      </c>
      <c r="K7" s="93">
        <v>0.06</v>
      </c>
      <c r="L7" s="53">
        <v>0.12</v>
      </c>
    </row>
    <row r="8" spans="1:20">
      <c r="B8" s="63" t="s">
        <v>18</v>
      </c>
      <c r="C8" s="51">
        <v>5.0199999999999996</v>
      </c>
      <c r="D8" s="51">
        <v>10.039999999999999</v>
      </c>
      <c r="E8" s="101">
        <f t="shared" si="0"/>
        <v>0.17</v>
      </c>
      <c r="F8" s="101">
        <f t="shared" si="1"/>
        <v>0.34</v>
      </c>
      <c r="G8" s="49">
        <f>INDEX($K$3:$K$16,MATCH(DASHBOARD!$F9,$J$3:$J$16,1))</f>
        <v>0.06</v>
      </c>
      <c r="H8" s="64">
        <f>INDEX($L$3:$L$16,MATCH(DASHBOARD!$F9,$J$3:$J$16,1))</f>
        <v>0.12</v>
      </c>
      <c r="J8" s="92">
        <v>7501</v>
      </c>
      <c r="K8" s="93">
        <v>0.08</v>
      </c>
      <c r="L8" s="53">
        <v>0.16</v>
      </c>
    </row>
    <row r="9" spans="1:20">
      <c r="B9" s="63" t="s">
        <v>19</v>
      </c>
      <c r="C9" s="51">
        <v>5.0199999999999996</v>
      </c>
      <c r="D9" s="51">
        <v>10.039999999999999</v>
      </c>
      <c r="E9" s="101">
        <f t="shared" si="0"/>
        <v>0.17</v>
      </c>
      <c r="F9" s="101">
        <f t="shared" si="1"/>
        <v>0.34</v>
      </c>
      <c r="G9" s="49">
        <f>INDEX($K$3:$K$16,MATCH(DASHBOARD!$F10,$J$3:$J$16,1))</f>
        <v>0.06</v>
      </c>
      <c r="H9" s="64">
        <f>INDEX($L$3:$L$16,MATCH(DASHBOARD!$F10,$J$3:$J$16,1))</f>
        <v>0.12</v>
      </c>
      <c r="J9" s="92">
        <v>8751</v>
      </c>
      <c r="K9" s="93">
        <v>0.1</v>
      </c>
      <c r="L9" s="53">
        <v>0.2</v>
      </c>
    </row>
    <row r="10" spans="1:20">
      <c r="B10" s="63" t="s">
        <v>20</v>
      </c>
      <c r="C10" s="51">
        <v>5.81</v>
      </c>
      <c r="D10" s="51">
        <v>11.62</v>
      </c>
      <c r="E10" s="101">
        <f t="shared" si="0"/>
        <v>0.17</v>
      </c>
      <c r="F10" s="101">
        <f t="shared" si="1"/>
        <v>0.34</v>
      </c>
      <c r="G10" s="49">
        <f>INDEX($K$3:$K$16,MATCH(DASHBOARD!$F11,$J$3:$J$16,1))</f>
        <v>0.06</v>
      </c>
      <c r="H10" s="64">
        <f>INDEX($L$3:$L$16,MATCH(DASHBOARD!$F11,$J$3:$J$16,1))</f>
        <v>0.12</v>
      </c>
      <c r="J10" s="92">
        <v>10801</v>
      </c>
      <c r="K10" s="93">
        <v>0.13</v>
      </c>
      <c r="L10" s="53">
        <v>0.26</v>
      </c>
    </row>
    <row r="11" spans="1:20">
      <c r="B11" s="63" t="s">
        <v>21</v>
      </c>
      <c r="C11" s="51">
        <v>5.81</v>
      </c>
      <c r="D11" s="51">
        <v>11.62</v>
      </c>
      <c r="E11" s="101">
        <f t="shared" si="0"/>
        <v>0.17</v>
      </c>
      <c r="F11" s="101">
        <f t="shared" si="1"/>
        <v>0.34</v>
      </c>
      <c r="G11" s="49">
        <f>INDEX($K$3:$K$16,MATCH(DASHBOARD!$F12,$J$3:$J$16,1))</f>
        <v>0.06</v>
      </c>
      <c r="H11" s="64">
        <f>INDEX($L$3:$L$16,MATCH(DASHBOARD!$F12,$J$3:$J$16,1))</f>
        <v>0.12</v>
      </c>
      <c r="J11" s="92">
        <v>14001</v>
      </c>
      <c r="K11" s="93">
        <v>0.16</v>
      </c>
      <c r="L11" s="53">
        <v>0.32</v>
      </c>
    </row>
    <row r="12" spans="1:20">
      <c r="B12" s="63" t="s">
        <v>22</v>
      </c>
      <c r="C12" s="51">
        <v>5.81</v>
      </c>
      <c r="D12" s="51">
        <v>11.62</v>
      </c>
      <c r="E12" s="101">
        <f t="shared" si="0"/>
        <v>0.17</v>
      </c>
      <c r="F12" s="101">
        <f t="shared" si="1"/>
        <v>0.34</v>
      </c>
      <c r="G12" s="49">
        <f>INDEX($K$3:$K$16,MATCH(DASHBOARD!$F13,$J$3:$J$16,1))</f>
        <v>0.06</v>
      </c>
      <c r="H12" s="64">
        <f>INDEX($L$3:$L$16,MATCH(DASHBOARD!$F13,$J$3:$J$16,1))</f>
        <v>0.12</v>
      </c>
      <c r="J12" s="92">
        <v>17501</v>
      </c>
      <c r="K12" s="93">
        <v>0.18</v>
      </c>
      <c r="L12" s="53">
        <v>0.36</v>
      </c>
    </row>
    <row r="13" spans="1:20">
      <c r="B13" s="63" t="s">
        <v>23</v>
      </c>
      <c r="C13" s="51">
        <v>5.81</v>
      </c>
      <c r="D13" s="51">
        <v>11.62</v>
      </c>
      <c r="E13" s="101">
        <f t="shared" si="0"/>
        <v>0.17</v>
      </c>
      <c r="F13" s="101">
        <f t="shared" si="1"/>
        <v>0.34</v>
      </c>
      <c r="G13" s="49">
        <f>INDEX($K$3:$K$16,MATCH(DASHBOARD!$F14,$J$3:$J$16,1))</f>
        <v>0.06</v>
      </c>
      <c r="H13" s="64">
        <f>INDEX($L$3:$L$16,MATCH(DASHBOARD!$F14,$J$3:$J$16,1))</f>
        <v>0.12</v>
      </c>
      <c r="J13" s="92">
        <v>20001</v>
      </c>
      <c r="K13" s="93">
        <v>0.2</v>
      </c>
      <c r="L13" s="53">
        <v>0.4</v>
      </c>
    </row>
    <row r="14" spans="1:20">
      <c r="B14" s="63" t="s">
        <v>24</v>
      </c>
      <c r="C14" s="51">
        <v>5.81</v>
      </c>
      <c r="D14" s="51">
        <v>11.62</v>
      </c>
      <c r="E14" s="101">
        <f t="shared" si="0"/>
        <v>0.17</v>
      </c>
      <c r="F14" s="101">
        <f t="shared" si="1"/>
        <v>0.34</v>
      </c>
      <c r="G14" s="49">
        <f>INDEX($K$3:$K$16,MATCH(DASHBOARD!$F15,$J$3:$J$16,1))</f>
        <v>0.06</v>
      </c>
      <c r="H14" s="64">
        <f>INDEX($L$3:$L$16,MATCH(DASHBOARD!$F15,$J$3:$J$16,1))</f>
        <v>0.12</v>
      </c>
      <c r="J14" s="92">
        <v>30001</v>
      </c>
      <c r="K14" s="93">
        <v>0.22</v>
      </c>
      <c r="L14" s="53">
        <v>0.44</v>
      </c>
    </row>
    <row r="15" spans="1:20" ht="15.75" thickBot="1">
      <c r="B15" s="65" t="s">
        <v>25</v>
      </c>
      <c r="C15" s="55">
        <v>5.81</v>
      </c>
      <c r="D15" s="55">
        <v>11.62</v>
      </c>
      <c r="E15" s="103">
        <f t="shared" si="0"/>
        <v>0.17</v>
      </c>
      <c r="F15" s="103">
        <f t="shared" si="1"/>
        <v>0.34</v>
      </c>
      <c r="G15" s="74">
        <f>INDEX($K$3:$K$16,MATCH(DASHBOARD!$F16,$J$3:$J$16,1))</f>
        <v>0.06</v>
      </c>
      <c r="H15" s="66">
        <f>INDEX($L$3:$L$16,MATCH(DASHBOARD!$F16,$J$3:$J$16,1))</f>
        <v>0.12</v>
      </c>
      <c r="J15" s="92">
        <v>40001</v>
      </c>
      <c r="K15" s="93">
        <v>0.24</v>
      </c>
      <c r="L15" s="53">
        <v>0.48</v>
      </c>
    </row>
    <row r="16" spans="1:20" ht="15.75" thickBot="1">
      <c r="J16" s="94">
        <v>50001</v>
      </c>
      <c r="K16" s="95">
        <v>0.26</v>
      </c>
      <c r="L16" s="56">
        <v>0.52</v>
      </c>
    </row>
    <row r="17" spans="1:12" ht="15.75" thickBot="1">
      <c r="B17" t="s">
        <v>26</v>
      </c>
    </row>
    <row r="18" spans="1:12">
      <c r="H18" s="59" t="s">
        <v>394</v>
      </c>
      <c r="J18" s="57" t="s">
        <v>394</v>
      </c>
      <c r="K18" s="60" t="s">
        <v>395</v>
      </c>
      <c r="L18" s="58" t="s">
        <v>396</v>
      </c>
    </row>
    <row r="19" spans="1:12" ht="15.75" thickBot="1">
      <c r="H19" s="114">
        <f>((SUM(DASHBOARD!$F$12:$F$16,DASHBOARD!$F$5)/DASHBOARD!$F$18)*100)</f>
        <v>50</v>
      </c>
      <c r="J19" s="52">
        <v>0</v>
      </c>
      <c r="K19" s="51">
        <v>0</v>
      </c>
      <c r="L19" s="53">
        <v>0</v>
      </c>
    </row>
    <row r="20" spans="1:12">
      <c r="J20" s="52">
        <v>42</v>
      </c>
      <c r="K20" s="51">
        <v>0.12</v>
      </c>
      <c r="L20" s="53">
        <v>0.24</v>
      </c>
    </row>
    <row r="21" spans="1:12" ht="15.75" thickBot="1">
      <c r="J21" s="54">
        <v>45</v>
      </c>
      <c r="K21" s="55">
        <v>0.17</v>
      </c>
      <c r="L21" s="56">
        <v>0.34</v>
      </c>
    </row>
    <row r="23" spans="1:12" ht="45.75">
      <c r="A23" t="s">
        <v>173</v>
      </c>
      <c r="B23" s="61" t="s">
        <v>7</v>
      </c>
      <c r="C23" s="71" t="s">
        <v>224</v>
      </c>
      <c r="D23" s="71" t="s">
        <v>225</v>
      </c>
    </row>
    <row r="24" spans="1:12">
      <c r="B24" s="63" t="s">
        <v>13</v>
      </c>
      <c r="C24" s="51">
        <v>5.56</v>
      </c>
      <c r="D24" s="51">
        <v>11.12</v>
      </c>
    </row>
    <row r="25" spans="1:12">
      <c r="B25" s="63" t="s">
        <v>15</v>
      </c>
      <c r="C25" s="51">
        <v>5.56</v>
      </c>
      <c r="D25" s="51">
        <v>11.12</v>
      </c>
    </row>
    <row r="26" spans="1:12">
      <c r="B26" s="63" t="s">
        <v>16</v>
      </c>
      <c r="C26" s="51">
        <v>5.56</v>
      </c>
      <c r="D26" s="51">
        <v>11.12</v>
      </c>
    </row>
    <row r="27" spans="1:12">
      <c r="B27" s="63" t="s">
        <v>17</v>
      </c>
      <c r="C27" s="51">
        <v>5.56</v>
      </c>
      <c r="D27" s="51">
        <v>11.12</v>
      </c>
    </row>
    <row r="28" spans="1:12">
      <c r="B28" s="63" t="s">
        <v>18</v>
      </c>
      <c r="C28" s="51">
        <v>5.56</v>
      </c>
      <c r="D28" s="51">
        <v>11.12</v>
      </c>
    </row>
    <row r="29" spans="1:12">
      <c r="B29" s="63" t="s">
        <v>19</v>
      </c>
      <c r="C29" s="51">
        <v>5.56</v>
      </c>
      <c r="D29" s="51">
        <v>11.12</v>
      </c>
    </row>
    <row r="30" spans="1:12">
      <c r="B30" s="63" t="s">
        <v>20</v>
      </c>
      <c r="C30" s="51">
        <v>5.56</v>
      </c>
      <c r="D30" s="51">
        <v>11.12</v>
      </c>
    </row>
    <row r="31" spans="1:12">
      <c r="B31" s="63" t="s">
        <v>21</v>
      </c>
      <c r="C31" s="51">
        <v>5.56</v>
      </c>
      <c r="D31" s="51">
        <v>11.12</v>
      </c>
    </row>
    <row r="32" spans="1:12">
      <c r="B32" s="63" t="s">
        <v>22</v>
      </c>
      <c r="C32" s="51">
        <v>5.56</v>
      </c>
      <c r="D32" s="51">
        <v>11.12</v>
      </c>
    </row>
    <row r="33" spans="2:4">
      <c r="B33" s="63" t="s">
        <v>23</v>
      </c>
      <c r="C33" s="51">
        <v>5.56</v>
      </c>
      <c r="D33" s="51">
        <v>11.12</v>
      </c>
    </row>
    <row r="34" spans="2:4">
      <c r="B34" s="63" t="s">
        <v>24</v>
      </c>
      <c r="C34" s="51">
        <v>5.56</v>
      </c>
      <c r="D34" s="51">
        <v>11.12</v>
      </c>
    </row>
    <row r="35" spans="2:4">
      <c r="B35" s="65" t="s">
        <v>25</v>
      </c>
      <c r="C35" s="51">
        <v>5.56</v>
      </c>
      <c r="D35" s="51">
        <v>11.12</v>
      </c>
    </row>
  </sheetData>
  <sheetProtection algorithmName="SHA-512" hashValue="MTpowzX8ndS+gBud50WYIDoi3A9zqoiMFiklBstQsz3dXf/KxzNPTQNrbEXeFlpu9AhDfGcz4qS9X4Jzeu1NlA==" saltValue="kFa9CsRGX0ckTveml2++7w==" spinCount="100000"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08F7-9590-4277-A13B-2BCBCA1841ED}">
  <dimension ref="A1:T35"/>
  <sheetViews>
    <sheetView topLeftCell="A8" workbookViewId="0">
      <selection activeCell="E34" sqref="E34"/>
    </sheetView>
  </sheetViews>
  <sheetFormatPr defaultRowHeight="15"/>
  <cols>
    <col min="2" max="2" width="10.85546875" bestFit="1" customWidth="1"/>
    <col min="5" max="5" width="32.42578125" customWidth="1"/>
    <col min="6" max="6" width="47.140625" customWidth="1"/>
    <col min="7" max="7" width="15.140625" customWidth="1"/>
    <col min="8" max="8" width="12.7109375" customWidth="1"/>
    <col min="10" max="10" width="14.42578125" bestFit="1" customWidth="1"/>
    <col min="11" max="11" width="28" bestFit="1" customWidth="1"/>
    <col min="12" max="12" width="26.5703125" bestFit="1" customWidth="1"/>
    <col min="13" max="13" width="28" bestFit="1" customWidth="1"/>
    <col min="14" max="14" width="26.5703125" bestFit="1" customWidth="1"/>
    <col min="15" max="15" width="21.85546875" bestFit="1" customWidth="1"/>
    <col min="16" max="16" width="26.5703125" bestFit="1" customWidth="1"/>
  </cols>
  <sheetData>
    <row r="1" spans="1:20" ht="15.75">
      <c r="A1" s="31" t="s">
        <v>397</v>
      </c>
    </row>
    <row r="2" spans="1:20" ht="15.75" thickBot="1">
      <c r="E2" s="1"/>
      <c r="H2" s="1"/>
      <c r="I2" s="1"/>
      <c r="J2" s="1"/>
      <c r="K2" s="1"/>
    </row>
    <row r="3" spans="1:20" ht="45">
      <c r="A3" s="136" t="s">
        <v>317</v>
      </c>
      <c r="B3" s="61" t="s">
        <v>7</v>
      </c>
      <c r="C3" s="71" t="s">
        <v>224</v>
      </c>
      <c r="D3" s="71" t="s">
        <v>225</v>
      </c>
      <c r="E3" s="117" t="s">
        <v>390</v>
      </c>
      <c r="F3" s="117" t="s">
        <v>391</v>
      </c>
      <c r="G3" s="71" t="s">
        <v>392</v>
      </c>
      <c r="H3" s="62" t="s">
        <v>393</v>
      </c>
      <c r="J3" s="98" t="s">
        <v>370</v>
      </c>
      <c r="K3" s="115" t="s">
        <v>292</v>
      </c>
      <c r="L3" s="116" t="s">
        <v>293</v>
      </c>
    </row>
    <row r="4" spans="1:20">
      <c r="B4" s="63" t="s">
        <v>13</v>
      </c>
      <c r="C4" s="51">
        <v>5.71</v>
      </c>
      <c r="D4" s="51">
        <v>11.42</v>
      </c>
      <c r="E4" s="101">
        <f t="shared" ref="E4:E15" si="0">INDEX($K$18:$K$21,MATCH($H$19,$J$18:$J$21,1))</f>
        <v>0.17</v>
      </c>
      <c r="F4" s="101">
        <f t="shared" ref="F4:F15" si="1">INDEX($L$18:$L$21,MATCH($H$19,$J$18:$J$21,1))</f>
        <v>0.34</v>
      </c>
      <c r="G4" s="49">
        <f>INDEX($K$3:$K$16,MATCH(DASHBOARD!$F5,$J$3:$J$16,1))</f>
        <v>0.06</v>
      </c>
      <c r="H4" s="64">
        <f>INDEX($L$3:$L$16,MATCH(DASHBOARD!$F5,$J$3:$J$16,1))</f>
        <v>0.12</v>
      </c>
      <c r="J4" s="92">
        <v>0</v>
      </c>
      <c r="K4" s="93">
        <v>0.01</v>
      </c>
      <c r="L4" s="53">
        <v>0.02</v>
      </c>
    </row>
    <row r="5" spans="1:20">
      <c r="B5" s="63" t="s">
        <v>15</v>
      </c>
      <c r="C5" s="51">
        <v>4.92</v>
      </c>
      <c r="D5" s="51">
        <v>9.84</v>
      </c>
      <c r="E5" s="101">
        <f t="shared" si="0"/>
        <v>0.17</v>
      </c>
      <c r="F5" s="101">
        <f t="shared" si="1"/>
        <v>0.34</v>
      </c>
      <c r="G5" s="49">
        <f>INDEX($K$3:$K$16,MATCH(DASHBOARD!$F6,$J$3:$J$16,1))</f>
        <v>0.06</v>
      </c>
      <c r="H5" s="64">
        <f>INDEX($L$3:$L$16,MATCH(DASHBOARD!$F6,$J$3:$J$16,1))</f>
        <v>0.12</v>
      </c>
      <c r="J5" s="92">
        <v>1501</v>
      </c>
      <c r="K5" s="93">
        <v>0.02</v>
      </c>
      <c r="L5" s="53">
        <v>0.04</v>
      </c>
    </row>
    <row r="6" spans="1:20">
      <c r="B6" s="63" t="s">
        <v>16</v>
      </c>
      <c r="C6" s="51">
        <v>4.92</v>
      </c>
      <c r="D6" s="51">
        <v>9.84</v>
      </c>
      <c r="E6" s="101">
        <f t="shared" si="0"/>
        <v>0.17</v>
      </c>
      <c r="F6" s="101">
        <f t="shared" si="1"/>
        <v>0.34</v>
      </c>
      <c r="G6" s="49">
        <f>INDEX($K$3:$K$16,MATCH(DASHBOARD!$F7,$J$3:$J$16,1))</f>
        <v>0.06</v>
      </c>
      <c r="H6" s="64">
        <f>INDEX($L$3:$L$16,MATCH(DASHBOARD!$F7,$J$3:$J$16,1))</f>
        <v>0.12</v>
      </c>
      <c r="J6" s="92">
        <v>4101</v>
      </c>
      <c r="K6" s="93">
        <v>0.03</v>
      </c>
      <c r="L6" s="53">
        <v>0.06</v>
      </c>
      <c r="T6" s="4"/>
    </row>
    <row r="7" spans="1:20">
      <c r="B7" s="63" t="s">
        <v>17</v>
      </c>
      <c r="C7" s="51">
        <v>4.92</v>
      </c>
      <c r="D7" s="51">
        <v>9.84</v>
      </c>
      <c r="E7" s="101">
        <f t="shared" si="0"/>
        <v>0.17</v>
      </c>
      <c r="F7" s="101">
        <f t="shared" si="1"/>
        <v>0.34</v>
      </c>
      <c r="G7" s="49">
        <f>INDEX($K$3:$K$16,MATCH(DASHBOARD!$F8,$J$3:$J$16,1))</f>
        <v>0.06</v>
      </c>
      <c r="H7" s="64">
        <f>INDEX($L$3:$L$16,MATCH(DASHBOARD!$F8,$J$3:$J$16,1))</f>
        <v>0.12</v>
      </c>
      <c r="J7" s="92">
        <v>5801</v>
      </c>
      <c r="K7" s="93">
        <v>0.06</v>
      </c>
      <c r="L7" s="53">
        <v>0.12</v>
      </c>
    </row>
    <row r="8" spans="1:20">
      <c r="B8" s="63" t="s">
        <v>18</v>
      </c>
      <c r="C8" s="51">
        <v>4.92</v>
      </c>
      <c r="D8" s="51">
        <v>9.84</v>
      </c>
      <c r="E8" s="101">
        <f t="shared" si="0"/>
        <v>0.17</v>
      </c>
      <c r="F8" s="101">
        <f t="shared" si="1"/>
        <v>0.34</v>
      </c>
      <c r="G8" s="49">
        <f>INDEX($K$3:$K$16,MATCH(DASHBOARD!$F9,$J$3:$J$16,1))</f>
        <v>0.06</v>
      </c>
      <c r="H8" s="64">
        <f>INDEX($L$3:$L$16,MATCH(DASHBOARD!$F9,$J$3:$J$16,1))</f>
        <v>0.12</v>
      </c>
      <c r="J8" s="92">
        <v>7501</v>
      </c>
      <c r="K8" s="93">
        <v>0.08</v>
      </c>
      <c r="L8" s="53">
        <v>0.16</v>
      </c>
    </row>
    <row r="9" spans="1:20">
      <c r="B9" s="63" t="s">
        <v>19</v>
      </c>
      <c r="C9" s="51">
        <v>4.92</v>
      </c>
      <c r="D9" s="51">
        <v>9.84</v>
      </c>
      <c r="E9" s="101">
        <f t="shared" si="0"/>
        <v>0.17</v>
      </c>
      <c r="F9" s="101">
        <f t="shared" si="1"/>
        <v>0.34</v>
      </c>
      <c r="G9" s="49">
        <f>INDEX($K$3:$K$16,MATCH(DASHBOARD!$F10,$J$3:$J$16,1))</f>
        <v>0.06</v>
      </c>
      <c r="H9" s="64">
        <f>INDEX($L$3:$L$16,MATCH(DASHBOARD!$F10,$J$3:$J$16,1))</f>
        <v>0.12</v>
      </c>
      <c r="J9" s="92">
        <v>8751</v>
      </c>
      <c r="K9" s="93">
        <v>0.1</v>
      </c>
      <c r="L9" s="53">
        <v>0.2</v>
      </c>
    </row>
    <row r="10" spans="1:20">
      <c r="B10" s="63" t="s">
        <v>20</v>
      </c>
      <c r="C10" s="51">
        <v>5.71</v>
      </c>
      <c r="D10" s="51">
        <v>11.42</v>
      </c>
      <c r="E10" s="101">
        <f t="shared" si="0"/>
        <v>0.17</v>
      </c>
      <c r="F10" s="101">
        <f t="shared" si="1"/>
        <v>0.34</v>
      </c>
      <c r="G10" s="49">
        <f>INDEX($K$3:$K$16,MATCH(DASHBOARD!$F11,$J$3:$J$16,1))</f>
        <v>0.06</v>
      </c>
      <c r="H10" s="64">
        <f>INDEX($L$3:$L$16,MATCH(DASHBOARD!$F11,$J$3:$J$16,1))</f>
        <v>0.12</v>
      </c>
      <c r="J10" s="92">
        <v>10801</v>
      </c>
      <c r="K10" s="93">
        <v>0.13</v>
      </c>
      <c r="L10" s="53">
        <v>0.26</v>
      </c>
    </row>
    <row r="11" spans="1:20">
      <c r="B11" s="63" t="s">
        <v>21</v>
      </c>
      <c r="C11" s="51">
        <v>5.71</v>
      </c>
      <c r="D11" s="51">
        <v>11.42</v>
      </c>
      <c r="E11" s="101">
        <f t="shared" si="0"/>
        <v>0.17</v>
      </c>
      <c r="F11" s="101">
        <f t="shared" si="1"/>
        <v>0.34</v>
      </c>
      <c r="G11" s="49">
        <f>INDEX($K$3:$K$16,MATCH(DASHBOARD!$F12,$J$3:$J$16,1))</f>
        <v>0.06</v>
      </c>
      <c r="H11" s="64">
        <f>INDEX($L$3:$L$16,MATCH(DASHBOARD!$F12,$J$3:$J$16,1))</f>
        <v>0.12</v>
      </c>
      <c r="J11" s="92">
        <v>14001</v>
      </c>
      <c r="K11" s="93">
        <v>0.16</v>
      </c>
      <c r="L11" s="53">
        <v>0.32</v>
      </c>
    </row>
    <row r="12" spans="1:20">
      <c r="B12" s="63" t="s">
        <v>22</v>
      </c>
      <c r="C12" s="51">
        <v>5.71</v>
      </c>
      <c r="D12" s="51">
        <v>11.42</v>
      </c>
      <c r="E12" s="101">
        <f t="shared" si="0"/>
        <v>0.17</v>
      </c>
      <c r="F12" s="101">
        <f t="shared" si="1"/>
        <v>0.34</v>
      </c>
      <c r="G12" s="49">
        <f>INDEX($K$3:$K$16,MATCH(DASHBOARD!$F13,$J$3:$J$16,1))</f>
        <v>0.06</v>
      </c>
      <c r="H12" s="64">
        <f>INDEX($L$3:$L$16,MATCH(DASHBOARD!$F13,$J$3:$J$16,1))</f>
        <v>0.12</v>
      </c>
      <c r="J12" s="92">
        <v>17501</v>
      </c>
      <c r="K12" s="93">
        <v>0.18</v>
      </c>
      <c r="L12" s="53">
        <v>0.36</v>
      </c>
    </row>
    <row r="13" spans="1:20">
      <c r="B13" s="63" t="s">
        <v>23</v>
      </c>
      <c r="C13" s="51">
        <v>5.71</v>
      </c>
      <c r="D13" s="51">
        <v>11.42</v>
      </c>
      <c r="E13" s="101">
        <f t="shared" si="0"/>
        <v>0.17</v>
      </c>
      <c r="F13" s="101">
        <f t="shared" si="1"/>
        <v>0.34</v>
      </c>
      <c r="G13" s="49">
        <f>INDEX($K$3:$K$16,MATCH(DASHBOARD!$F14,$J$3:$J$16,1))</f>
        <v>0.06</v>
      </c>
      <c r="H13" s="64">
        <f>INDEX($L$3:$L$16,MATCH(DASHBOARD!$F14,$J$3:$J$16,1))</f>
        <v>0.12</v>
      </c>
      <c r="J13" s="92">
        <v>20001</v>
      </c>
      <c r="K13" s="93">
        <v>0.2</v>
      </c>
      <c r="L13" s="53">
        <v>0.4</v>
      </c>
    </row>
    <row r="14" spans="1:20">
      <c r="B14" s="63" t="s">
        <v>24</v>
      </c>
      <c r="C14" s="51">
        <v>5.71</v>
      </c>
      <c r="D14" s="51">
        <v>11.42</v>
      </c>
      <c r="E14" s="101">
        <f t="shared" si="0"/>
        <v>0.17</v>
      </c>
      <c r="F14" s="101">
        <f t="shared" si="1"/>
        <v>0.34</v>
      </c>
      <c r="G14" s="49">
        <f>INDEX($K$3:$K$16,MATCH(DASHBOARD!$F15,$J$3:$J$16,1))</f>
        <v>0.06</v>
      </c>
      <c r="H14" s="64">
        <f>INDEX($L$3:$L$16,MATCH(DASHBOARD!$F15,$J$3:$J$16,1))</f>
        <v>0.12</v>
      </c>
      <c r="J14" s="92">
        <v>30001</v>
      </c>
      <c r="K14" s="93">
        <v>0.22</v>
      </c>
      <c r="L14" s="53">
        <v>0.44</v>
      </c>
    </row>
    <row r="15" spans="1:20" ht="15.75" thickBot="1">
      <c r="B15" s="65" t="s">
        <v>25</v>
      </c>
      <c r="C15" s="55">
        <v>5.71</v>
      </c>
      <c r="D15" s="55">
        <v>11.42</v>
      </c>
      <c r="E15" s="103">
        <f t="shared" si="0"/>
        <v>0.17</v>
      </c>
      <c r="F15" s="103">
        <f t="shared" si="1"/>
        <v>0.34</v>
      </c>
      <c r="G15" s="74">
        <f>INDEX($K$3:$K$16,MATCH(DASHBOARD!$F16,$J$3:$J$16,1))</f>
        <v>0.06</v>
      </c>
      <c r="H15" s="66">
        <f>INDEX($L$3:$L$16,MATCH(DASHBOARD!$F16,$J$3:$J$16,1))</f>
        <v>0.12</v>
      </c>
      <c r="J15" s="92">
        <v>40001</v>
      </c>
      <c r="K15" s="93">
        <v>0.24</v>
      </c>
      <c r="L15" s="53">
        <v>0.48</v>
      </c>
    </row>
    <row r="16" spans="1:20" ht="15.75" thickBot="1">
      <c r="J16" s="94">
        <v>50001</v>
      </c>
      <c r="K16" s="95">
        <v>0.26</v>
      </c>
      <c r="L16" s="56">
        <v>0.52</v>
      </c>
    </row>
    <row r="17" spans="1:12" ht="15.75" thickBot="1">
      <c r="B17" t="s">
        <v>26</v>
      </c>
    </row>
    <row r="18" spans="1:12">
      <c r="H18" s="59" t="s">
        <v>394</v>
      </c>
      <c r="J18" s="57" t="s">
        <v>394</v>
      </c>
      <c r="K18" s="60" t="s">
        <v>395</v>
      </c>
      <c r="L18" s="58" t="s">
        <v>396</v>
      </c>
    </row>
    <row r="19" spans="1:12" ht="15.75" thickBot="1">
      <c r="H19" s="114">
        <f>((SUM(DASHBOARD!$F$12:$F$16,DASHBOARD!$F$5)/DASHBOARD!$F$18)*100)</f>
        <v>50</v>
      </c>
      <c r="J19" s="52">
        <v>0</v>
      </c>
      <c r="K19" s="51">
        <v>0</v>
      </c>
      <c r="L19" s="53">
        <v>0</v>
      </c>
    </row>
    <row r="20" spans="1:12">
      <c r="J20" s="52">
        <v>42</v>
      </c>
      <c r="K20" s="51">
        <v>0.12</v>
      </c>
      <c r="L20" s="53">
        <v>0.24</v>
      </c>
    </row>
    <row r="21" spans="1:12" ht="15.75" thickBot="1">
      <c r="J21" s="54">
        <v>45</v>
      </c>
      <c r="K21" s="55">
        <v>0.17</v>
      </c>
      <c r="L21" s="56">
        <v>0.34</v>
      </c>
    </row>
    <row r="23" spans="1:12" ht="45.75">
      <c r="A23" t="s">
        <v>173</v>
      </c>
      <c r="B23" s="61" t="s">
        <v>7</v>
      </c>
      <c r="C23" s="71" t="s">
        <v>224</v>
      </c>
      <c r="D23" s="71" t="s">
        <v>225</v>
      </c>
    </row>
    <row r="24" spans="1:12">
      <c r="B24" s="63" t="s">
        <v>13</v>
      </c>
      <c r="C24" s="51">
        <v>5.46</v>
      </c>
      <c r="D24" s="51">
        <v>10.92</v>
      </c>
    </row>
    <row r="25" spans="1:12">
      <c r="B25" s="63" t="s">
        <v>15</v>
      </c>
      <c r="C25" s="51">
        <v>5.46</v>
      </c>
      <c r="D25" s="51">
        <v>10.92</v>
      </c>
    </row>
    <row r="26" spans="1:12">
      <c r="B26" s="63" t="s">
        <v>16</v>
      </c>
      <c r="C26" s="51">
        <v>5.46</v>
      </c>
      <c r="D26" s="51">
        <v>10.92</v>
      </c>
    </row>
    <row r="27" spans="1:12">
      <c r="B27" s="63" t="s">
        <v>17</v>
      </c>
      <c r="C27" s="51">
        <v>5.46</v>
      </c>
      <c r="D27" s="51">
        <v>10.92</v>
      </c>
    </row>
    <row r="28" spans="1:12">
      <c r="B28" s="63" t="s">
        <v>18</v>
      </c>
      <c r="C28" s="51">
        <v>5.46</v>
      </c>
      <c r="D28" s="51">
        <v>10.92</v>
      </c>
    </row>
    <row r="29" spans="1:12">
      <c r="B29" s="63" t="s">
        <v>19</v>
      </c>
      <c r="C29" s="51">
        <v>5.46</v>
      </c>
      <c r="D29" s="51">
        <v>10.92</v>
      </c>
    </row>
    <row r="30" spans="1:12">
      <c r="B30" s="63" t="s">
        <v>20</v>
      </c>
      <c r="C30" s="51">
        <v>5.46</v>
      </c>
      <c r="D30" s="51">
        <v>10.92</v>
      </c>
    </row>
    <row r="31" spans="1:12">
      <c r="B31" s="63" t="s">
        <v>21</v>
      </c>
      <c r="C31" s="51">
        <v>5.46</v>
      </c>
      <c r="D31" s="51">
        <v>10.92</v>
      </c>
    </row>
    <row r="32" spans="1:12">
      <c r="B32" s="63" t="s">
        <v>22</v>
      </c>
      <c r="C32" s="51">
        <v>5.46</v>
      </c>
      <c r="D32" s="51">
        <v>10.92</v>
      </c>
    </row>
    <row r="33" spans="2:4">
      <c r="B33" s="63" t="s">
        <v>23</v>
      </c>
      <c r="C33" s="51">
        <v>5.46</v>
      </c>
      <c r="D33" s="51">
        <v>10.92</v>
      </c>
    </row>
    <row r="34" spans="2:4">
      <c r="B34" s="63" t="s">
        <v>24</v>
      </c>
      <c r="C34" s="51">
        <v>5.46</v>
      </c>
      <c r="D34" s="51">
        <v>10.92</v>
      </c>
    </row>
    <row r="35" spans="2:4">
      <c r="B35" s="65" t="s">
        <v>25</v>
      </c>
      <c r="C35" s="51">
        <v>5.46</v>
      </c>
      <c r="D35" s="51">
        <v>10.92</v>
      </c>
    </row>
  </sheetData>
  <sheetProtection algorithmName="SHA-512" hashValue="7L6ZVE1yE/UUZtTvIc+inl6EXXLFcnUjIU2GR66OMDtRBQDOZ4ytgPFgmZcM33/YDs0kaBT1fR+mjgPHbq6ZcQ==" saltValue="930wt2I6uxeQCwv1uvddVg==" spinCount="100000" sheet="1" objects="1" scenarios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05F25-4A4F-4A21-B41D-34DB302D24C9}">
  <dimension ref="A1:T35"/>
  <sheetViews>
    <sheetView topLeftCell="A3" workbookViewId="0">
      <selection activeCell="E30" sqref="E30"/>
    </sheetView>
  </sheetViews>
  <sheetFormatPr defaultRowHeight="15"/>
  <cols>
    <col min="5" max="5" width="31.7109375" bestFit="1" customWidth="1"/>
    <col min="6" max="6" width="30.28515625" bestFit="1" customWidth="1"/>
    <col min="7" max="7" width="11.7109375" bestFit="1" customWidth="1"/>
    <col min="8" max="8" width="17.28515625" customWidth="1"/>
    <col min="10" max="10" width="14.42578125" bestFit="1" customWidth="1"/>
    <col min="11" max="11" width="28" bestFit="1" customWidth="1"/>
    <col min="12" max="12" width="26.5703125" bestFit="1" customWidth="1"/>
    <col min="13" max="13" width="28" bestFit="1" customWidth="1"/>
    <col min="14" max="14" width="26.5703125" bestFit="1" customWidth="1"/>
    <col min="15" max="15" width="21.85546875" bestFit="1" customWidth="1"/>
  </cols>
  <sheetData>
    <row r="1" spans="1:20" ht="15.75">
      <c r="A1" s="31" t="s">
        <v>398</v>
      </c>
    </row>
    <row r="2" spans="1:20" ht="15.75" thickBot="1">
      <c r="E2" s="1"/>
      <c r="H2" s="1"/>
      <c r="I2" s="1"/>
      <c r="J2" s="1"/>
      <c r="K2" s="1"/>
    </row>
    <row r="3" spans="1:20" ht="45">
      <c r="A3" s="136" t="s">
        <v>317</v>
      </c>
      <c r="B3" s="61" t="s">
        <v>7</v>
      </c>
      <c r="C3" s="71" t="s">
        <v>224</v>
      </c>
      <c r="D3" s="71" t="s">
        <v>225</v>
      </c>
      <c r="E3" s="117" t="s">
        <v>390</v>
      </c>
      <c r="F3" s="117" t="s">
        <v>391</v>
      </c>
      <c r="G3" s="71" t="s">
        <v>392</v>
      </c>
      <c r="H3" s="62" t="s">
        <v>393</v>
      </c>
      <c r="J3" s="98" t="s">
        <v>370</v>
      </c>
      <c r="K3" s="115" t="s">
        <v>292</v>
      </c>
      <c r="L3" s="116" t="s">
        <v>293</v>
      </c>
    </row>
    <row r="4" spans="1:20">
      <c r="B4" s="63" t="s">
        <v>13</v>
      </c>
      <c r="C4" s="51">
        <v>5.71</v>
      </c>
      <c r="D4" s="51">
        <v>11.42</v>
      </c>
      <c r="E4" s="101">
        <f t="shared" ref="E4:E15" si="0">INDEX($K$18:$K$21,MATCH($H$19,$J$18:$J$21,1))</f>
        <v>0.17</v>
      </c>
      <c r="F4" s="101">
        <f t="shared" ref="F4:F15" si="1">INDEX($L$18:$L$21,MATCH($H$19,$J$18:$J$21,1))</f>
        <v>0.34</v>
      </c>
      <c r="G4" s="49">
        <f>INDEX($K$3:$K$16,MATCH(DASHBOARD!$F5,$J$3:$J$16,1))</f>
        <v>0.06</v>
      </c>
      <c r="H4" s="64">
        <f>INDEX($L$3:$L$16,MATCH(DASHBOARD!$F5,$J$3:$J$16,1))</f>
        <v>0.12</v>
      </c>
      <c r="J4" s="92">
        <v>0</v>
      </c>
      <c r="K4" s="93">
        <v>0.01</v>
      </c>
      <c r="L4" s="53">
        <v>0.02</v>
      </c>
    </row>
    <row r="5" spans="1:20">
      <c r="B5" s="63" t="s">
        <v>15</v>
      </c>
      <c r="C5" s="51">
        <v>4.92</v>
      </c>
      <c r="D5" s="51">
        <v>9.84</v>
      </c>
      <c r="E5" s="101">
        <f t="shared" si="0"/>
        <v>0.17</v>
      </c>
      <c r="F5" s="101">
        <f t="shared" si="1"/>
        <v>0.34</v>
      </c>
      <c r="G5" s="49">
        <f>INDEX($K$3:$K$16,MATCH(DASHBOARD!$F6,$J$3:$J$16,1))</f>
        <v>0.06</v>
      </c>
      <c r="H5" s="64">
        <f>INDEX($L$3:$L$16,MATCH(DASHBOARD!$F6,$J$3:$J$16,1))</f>
        <v>0.12</v>
      </c>
      <c r="J5" s="92">
        <v>1501</v>
      </c>
      <c r="K5" s="93">
        <v>0.02</v>
      </c>
      <c r="L5" s="53">
        <v>0.04</v>
      </c>
    </row>
    <row r="6" spans="1:20">
      <c r="B6" s="63" t="s">
        <v>16</v>
      </c>
      <c r="C6" s="51">
        <v>4.92</v>
      </c>
      <c r="D6" s="51">
        <v>9.84</v>
      </c>
      <c r="E6" s="101">
        <f t="shared" si="0"/>
        <v>0.17</v>
      </c>
      <c r="F6" s="101">
        <f t="shared" si="1"/>
        <v>0.34</v>
      </c>
      <c r="G6" s="49">
        <f>INDEX($K$3:$K$16,MATCH(DASHBOARD!$F7,$J$3:$J$16,1))</f>
        <v>0.06</v>
      </c>
      <c r="H6" s="64">
        <f>INDEX($L$3:$L$16,MATCH(DASHBOARD!$F7,$J$3:$J$16,1))</f>
        <v>0.12</v>
      </c>
      <c r="J6" s="92">
        <v>4101</v>
      </c>
      <c r="K6" s="93">
        <v>0.03</v>
      </c>
      <c r="L6" s="53">
        <v>0.06</v>
      </c>
      <c r="T6" s="4"/>
    </row>
    <row r="7" spans="1:20">
      <c r="B7" s="63" t="s">
        <v>17</v>
      </c>
      <c r="C7" s="51">
        <v>4.92</v>
      </c>
      <c r="D7" s="51">
        <v>9.84</v>
      </c>
      <c r="E7" s="101">
        <f t="shared" si="0"/>
        <v>0.17</v>
      </c>
      <c r="F7" s="101">
        <f t="shared" si="1"/>
        <v>0.34</v>
      </c>
      <c r="G7" s="49">
        <f>INDEX($K$3:$K$16,MATCH(DASHBOARD!$F8,$J$3:$J$16,1))</f>
        <v>0.06</v>
      </c>
      <c r="H7" s="64">
        <f>INDEX($L$3:$L$16,MATCH(DASHBOARD!$F8,$J$3:$J$16,1))</f>
        <v>0.12</v>
      </c>
      <c r="J7" s="92">
        <v>5801</v>
      </c>
      <c r="K7" s="93">
        <v>0.06</v>
      </c>
      <c r="L7" s="53">
        <v>0.12</v>
      </c>
    </row>
    <row r="8" spans="1:20">
      <c r="B8" s="63" t="s">
        <v>18</v>
      </c>
      <c r="C8" s="51">
        <v>4.92</v>
      </c>
      <c r="D8" s="51">
        <v>9.84</v>
      </c>
      <c r="E8" s="101">
        <f t="shared" si="0"/>
        <v>0.17</v>
      </c>
      <c r="F8" s="101">
        <f t="shared" si="1"/>
        <v>0.34</v>
      </c>
      <c r="G8" s="49">
        <f>INDEX($K$3:$K$16,MATCH(DASHBOARD!$F9,$J$3:$J$16,1))</f>
        <v>0.06</v>
      </c>
      <c r="H8" s="64">
        <f>INDEX($L$3:$L$16,MATCH(DASHBOARD!$F9,$J$3:$J$16,1))</f>
        <v>0.12</v>
      </c>
      <c r="J8" s="92">
        <v>7501</v>
      </c>
      <c r="K8" s="93">
        <v>0.08</v>
      </c>
      <c r="L8" s="53">
        <v>0.16</v>
      </c>
    </row>
    <row r="9" spans="1:20">
      <c r="B9" s="63" t="s">
        <v>19</v>
      </c>
      <c r="C9" s="51">
        <v>4.92</v>
      </c>
      <c r="D9" s="51">
        <v>9.84</v>
      </c>
      <c r="E9" s="101">
        <f t="shared" si="0"/>
        <v>0.17</v>
      </c>
      <c r="F9" s="101">
        <f t="shared" si="1"/>
        <v>0.34</v>
      </c>
      <c r="G9" s="49">
        <f>INDEX($K$3:$K$16,MATCH(DASHBOARD!$F10,$J$3:$J$16,1))</f>
        <v>0.06</v>
      </c>
      <c r="H9" s="64">
        <f>INDEX($L$3:$L$16,MATCH(DASHBOARD!$F10,$J$3:$J$16,1))</f>
        <v>0.12</v>
      </c>
      <c r="J9" s="92">
        <v>8751</v>
      </c>
      <c r="K9" s="93">
        <v>0.1</v>
      </c>
      <c r="L9" s="53">
        <v>0.2</v>
      </c>
    </row>
    <row r="10" spans="1:20">
      <c r="B10" s="63" t="s">
        <v>20</v>
      </c>
      <c r="C10" s="51">
        <v>5.71</v>
      </c>
      <c r="D10" s="51">
        <v>11.42</v>
      </c>
      <c r="E10" s="101">
        <f t="shared" si="0"/>
        <v>0.17</v>
      </c>
      <c r="F10" s="101">
        <f t="shared" si="1"/>
        <v>0.34</v>
      </c>
      <c r="G10" s="49">
        <f>INDEX($K$3:$K$16,MATCH(DASHBOARD!$F11,$J$3:$J$16,1))</f>
        <v>0.06</v>
      </c>
      <c r="H10" s="64">
        <f>INDEX($L$3:$L$16,MATCH(DASHBOARD!$F11,$J$3:$J$16,1))</f>
        <v>0.12</v>
      </c>
      <c r="J10" s="92">
        <v>10801</v>
      </c>
      <c r="K10" s="93">
        <v>0.13</v>
      </c>
      <c r="L10" s="53">
        <v>0.26</v>
      </c>
    </row>
    <row r="11" spans="1:20">
      <c r="B11" s="63" t="s">
        <v>21</v>
      </c>
      <c r="C11" s="51">
        <v>5.71</v>
      </c>
      <c r="D11" s="51">
        <v>11.42</v>
      </c>
      <c r="E11" s="101">
        <f t="shared" si="0"/>
        <v>0.17</v>
      </c>
      <c r="F11" s="101">
        <f t="shared" si="1"/>
        <v>0.34</v>
      </c>
      <c r="G11" s="49">
        <f>INDEX($K$3:$K$16,MATCH(DASHBOARD!$F12,$J$3:$J$16,1))</f>
        <v>0.06</v>
      </c>
      <c r="H11" s="64">
        <f>INDEX($L$3:$L$16,MATCH(DASHBOARD!$F12,$J$3:$J$16,1))</f>
        <v>0.12</v>
      </c>
      <c r="J11" s="92">
        <v>14001</v>
      </c>
      <c r="K11" s="93">
        <v>0.16</v>
      </c>
      <c r="L11" s="53">
        <v>0.32</v>
      </c>
    </row>
    <row r="12" spans="1:20">
      <c r="B12" s="63" t="s">
        <v>22</v>
      </c>
      <c r="C12" s="51">
        <v>5.71</v>
      </c>
      <c r="D12" s="51">
        <v>11.42</v>
      </c>
      <c r="E12" s="101">
        <f t="shared" si="0"/>
        <v>0.17</v>
      </c>
      <c r="F12" s="101">
        <f t="shared" si="1"/>
        <v>0.34</v>
      </c>
      <c r="G12" s="49">
        <f>INDEX($K$3:$K$16,MATCH(DASHBOARD!$F13,$J$3:$J$16,1))</f>
        <v>0.06</v>
      </c>
      <c r="H12" s="64">
        <f>INDEX($L$3:$L$16,MATCH(DASHBOARD!$F13,$J$3:$J$16,1))</f>
        <v>0.12</v>
      </c>
      <c r="J12" s="92">
        <v>17501</v>
      </c>
      <c r="K12" s="93">
        <v>0.18</v>
      </c>
      <c r="L12" s="53">
        <v>0.36</v>
      </c>
    </row>
    <row r="13" spans="1:20">
      <c r="B13" s="63" t="s">
        <v>23</v>
      </c>
      <c r="C13" s="51">
        <v>5.71</v>
      </c>
      <c r="D13" s="51">
        <v>11.42</v>
      </c>
      <c r="E13" s="101">
        <f t="shared" si="0"/>
        <v>0.17</v>
      </c>
      <c r="F13" s="101">
        <f t="shared" si="1"/>
        <v>0.34</v>
      </c>
      <c r="G13" s="49">
        <f>INDEX($K$3:$K$16,MATCH(DASHBOARD!$F14,$J$3:$J$16,1))</f>
        <v>0.06</v>
      </c>
      <c r="H13" s="64">
        <f>INDEX($L$3:$L$16,MATCH(DASHBOARD!$F14,$J$3:$J$16,1))</f>
        <v>0.12</v>
      </c>
      <c r="J13" s="92">
        <v>20001</v>
      </c>
      <c r="K13" s="93">
        <v>0.2</v>
      </c>
      <c r="L13" s="53">
        <v>0.4</v>
      </c>
    </row>
    <row r="14" spans="1:20">
      <c r="B14" s="63" t="s">
        <v>24</v>
      </c>
      <c r="C14" s="51">
        <v>5.71</v>
      </c>
      <c r="D14" s="51">
        <v>11.42</v>
      </c>
      <c r="E14" s="101">
        <f t="shared" si="0"/>
        <v>0.17</v>
      </c>
      <c r="F14" s="101">
        <f t="shared" si="1"/>
        <v>0.34</v>
      </c>
      <c r="G14" s="49">
        <f>INDEX($K$3:$K$16,MATCH(DASHBOARD!$F15,$J$3:$J$16,1))</f>
        <v>0.06</v>
      </c>
      <c r="H14" s="64">
        <f>INDEX($L$3:$L$16,MATCH(DASHBOARD!$F15,$J$3:$J$16,1))</f>
        <v>0.12</v>
      </c>
      <c r="J14" s="92">
        <v>30001</v>
      </c>
      <c r="K14" s="93">
        <v>0.22</v>
      </c>
      <c r="L14" s="53">
        <v>0.44</v>
      </c>
    </row>
    <row r="15" spans="1:20" ht="15.75" thickBot="1">
      <c r="B15" s="65" t="s">
        <v>25</v>
      </c>
      <c r="C15" s="55">
        <v>5.71</v>
      </c>
      <c r="D15" s="55">
        <v>11.42</v>
      </c>
      <c r="E15" s="103">
        <f t="shared" si="0"/>
        <v>0.17</v>
      </c>
      <c r="F15" s="103">
        <f t="shared" si="1"/>
        <v>0.34</v>
      </c>
      <c r="G15" s="74">
        <f>INDEX($K$3:$K$16,MATCH(DASHBOARD!$F16,$J$3:$J$16,1))</f>
        <v>0.06</v>
      </c>
      <c r="H15" s="66">
        <f>INDEX($L$3:$L$16,MATCH(DASHBOARD!$F16,$J$3:$J$16,1))</f>
        <v>0.12</v>
      </c>
      <c r="J15" s="92">
        <v>40001</v>
      </c>
      <c r="K15" s="93">
        <v>0.24</v>
      </c>
      <c r="L15" s="53">
        <v>0.48</v>
      </c>
    </row>
    <row r="16" spans="1:20" ht="15.75" thickBot="1">
      <c r="J16" s="94">
        <v>50001</v>
      </c>
      <c r="K16" s="95">
        <v>0.26</v>
      </c>
      <c r="L16" s="56">
        <v>0.52</v>
      </c>
    </row>
    <row r="17" spans="1:12" ht="15.75" thickBot="1">
      <c r="B17" t="s">
        <v>26</v>
      </c>
    </row>
    <row r="18" spans="1:12">
      <c r="H18" s="59" t="s">
        <v>394</v>
      </c>
      <c r="J18" s="57" t="s">
        <v>394</v>
      </c>
      <c r="K18" s="60" t="s">
        <v>395</v>
      </c>
      <c r="L18" s="58" t="s">
        <v>396</v>
      </c>
    </row>
    <row r="19" spans="1:12" ht="15.75" thickBot="1">
      <c r="H19" s="114">
        <f>((SUM(DASHBOARD!$F$12:$F$16,DASHBOARD!$F$5)/DASHBOARD!$F$18)*100)</f>
        <v>50</v>
      </c>
      <c r="J19" s="52">
        <v>0</v>
      </c>
      <c r="K19" s="51">
        <v>0</v>
      </c>
      <c r="L19" s="53">
        <v>0</v>
      </c>
    </row>
    <row r="20" spans="1:12">
      <c r="J20" s="52">
        <v>42</v>
      </c>
      <c r="K20" s="51">
        <v>0.12</v>
      </c>
      <c r="L20" s="53">
        <v>0.24</v>
      </c>
    </row>
    <row r="21" spans="1:12" ht="15.75" thickBot="1">
      <c r="J21" s="54">
        <v>45</v>
      </c>
      <c r="K21" s="55">
        <v>0.17</v>
      </c>
      <c r="L21" s="56">
        <v>0.34</v>
      </c>
    </row>
    <row r="23" spans="1:12" ht="45.75">
      <c r="A23" t="s">
        <v>173</v>
      </c>
      <c r="B23" s="61" t="s">
        <v>7</v>
      </c>
      <c r="C23" s="71" t="s">
        <v>224</v>
      </c>
      <c r="D23" s="71" t="s">
        <v>225</v>
      </c>
    </row>
    <row r="24" spans="1:12">
      <c r="B24" s="63" t="s">
        <v>13</v>
      </c>
      <c r="C24" s="51">
        <v>5.46</v>
      </c>
      <c r="D24" s="51">
        <v>10.92</v>
      </c>
    </row>
    <row r="25" spans="1:12">
      <c r="B25" s="63" t="s">
        <v>15</v>
      </c>
      <c r="C25" s="51">
        <v>5.46</v>
      </c>
      <c r="D25" s="51">
        <v>10.92</v>
      </c>
    </row>
    <row r="26" spans="1:12">
      <c r="B26" s="63" t="s">
        <v>16</v>
      </c>
      <c r="C26" s="51">
        <v>5.46</v>
      </c>
      <c r="D26" s="51">
        <v>10.92</v>
      </c>
    </row>
    <row r="27" spans="1:12">
      <c r="B27" s="63" t="s">
        <v>17</v>
      </c>
      <c r="C27" s="51">
        <v>5.46</v>
      </c>
      <c r="D27" s="51">
        <v>10.92</v>
      </c>
    </row>
    <row r="28" spans="1:12">
      <c r="B28" s="63" t="s">
        <v>18</v>
      </c>
      <c r="C28" s="51">
        <v>5.46</v>
      </c>
      <c r="D28" s="51">
        <v>10.92</v>
      </c>
    </row>
    <row r="29" spans="1:12">
      <c r="B29" s="63" t="s">
        <v>19</v>
      </c>
      <c r="C29" s="51">
        <v>5.46</v>
      </c>
      <c r="D29" s="51">
        <v>10.92</v>
      </c>
    </row>
    <row r="30" spans="1:12">
      <c r="B30" s="63" t="s">
        <v>20</v>
      </c>
      <c r="C30" s="51">
        <v>5.46</v>
      </c>
      <c r="D30" s="51">
        <v>10.92</v>
      </c>
    </row>
    <row r="31" spans="1:12">
      <c r="B31" s="63" t="s">
        <v>21</v>
      </c>
      <c r="C31" s="51">
        <v>5.46</v>
      </c>
      <c r="D31" s="51">
        <v>10.92</v>
      </c>
    </row>
    <row r="32" spans="1:12">
      <c r="B32" s="63" t="s">
        <v>22</v>
      </c>
      <c r="C32" s="51">
        <v>5.46</v>
      </c>
      <c r="D32" s="51">
        <v>10.92</v>
      </c>
    </row>
    <row r="33" spans="2:4">
      <c r="B33" s="63" t="s">
        <v>23</v>
      </c>
      <c r="C33" s="51">
        <v>5.46</v>
      </c>
      <c r="D33" s="51">
        <v>10.92</v>
      </c>
    </row>
    <row r="34" spans="2:4">
      <c r="B34" s="63" t="s">
        <v>24</v>
      </c>
      <c r="C34" s="51">
        <v>5.46</v>
      </c>
      <c r="D34" s="51">
        <v>10.92</v>
      </c>
    </row>
    <row r="35" spans="2:4">
      <c r="B35" s="65" t="s">
        <v>25</v>
      </c>
      <c r="C35" s="51">
        <v>5.46</v>
      </c>
      <c r="D35" s="51">
        <v>10.92</v>
      </c>
    </row>
  </sheetData>
  <sheetProtection algorithmName="SHA-512" hashValue="kI1lN5AptXCRENtFODSS3Ohd/oZHS8cIqhRGPkJ5HzDTi2tcarJHnHR4caq8hXVSqwiTtgO8ntHtf5Q95bSoOQ==" saltValue="VUfeukRJhz46PoaK/91V9Q==" spinCount="100000" sheet="1" objects="1" scenarios="1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A65AA-6C43-4C85-B385-B5939B217538}">
  <dimension ref="A1:T17"/>
  <sheetViews>
    <sheetView workbookViewId="0">
      <selection activeCell="J4" sqref="J4"/>
    </sheetView>
  </sheetViews>
  <sheetFormatPr defaultRowHeight="15"/>
  <cols>
    <col min="5" max="5" width="16.140625" customWidth="1"/>
    <col min="6" max="6" width="19.140625" customWidth="1"/>
    <col min="7" max="7" width="15.140625" customWidth="1"/>
    <col min="8" max="8" width="15.85546875" bestFit="1" customWidth="1"/>
    <col min="9" max="10" width="28" bestFit="1" customWidth="1"/>
    <col min="11" max="11" width="26.5703125" bestFit="1" customWidth="1"/>
  </cols>
  <sheetData>
    <row r="1" spans="1:20" ht="15.75">
      <c r="A1" s="31" t="s">
        <v>399</v>
      </c>
    </row>
    <row r="2" spans="1:20" ht="15.75" thickBot="1">
      <c r="B2" s="1"/>
      <c r="C2" s="1"/>
      <c r="D2" s="1"/>
      <c r="E2" s="1"/>
      <c r="H2" s="1"/>
      <c r="I2" s="1"/>
      <c r="J2" s="1"/>
      <c r="K2" s="1"/>
    </row>
    <row r="3" spans="1:20" ht="45">
      <c r="B3" s="61" t="s">
        <v>7</v>
      </c>
      <c r="C3" s="71" t="s">
        <v>224</v>
      </c>
      <c r="D3" s="71" t="s">
        <v>225</v>
      </c>
      <c r="E3" s="71" t="s">
        <v>392</v>
      </c>
      <c r="F3" s="62" t="s">
        <v>393</v>
      </c>
      <c r="H3" s="98" t="s">
        <v>370</v>
      </c>
      <c r="I3" s="115" t="s">
        <v>292</v>
      </c>
      <c r="J3" s="116" t="s">
        <v>293</v>
      </c>
    </row>
    <row r="4" spans="1:20">
      <c r="B4" s="63" t="s">
        <v>13</v>
      </c>
      <c r="C4" s="51">
        <v>7.33</v>
      </c>
      <c r="D4" s="51">
        <v>14.66</v>
      </c>
      <c r="E4" s="49">
        <f>INDEX($I$3:$I$16,MATCH(DASHBOARD!$F5,$H$3:$H$16,1))</f>
        <v>0.06</v>
      </c>
      <c r="F4" s="64">
        <f>INDEX($J$3:$J$16,MATCH(DASHBOARD!$F5,$H$3:$H$16,1))</f>
        <v>0.12</v>
      </c>
      <c r="H4" s="92">
        <v>0</v>
      </c>
      <c r="I4" s="93">
        <v>0.01</v>
      </c>
      <c r="J4" s="53">
        <v>0.02</v>
      </c>
    </row>
    <row r="5" spans="1:20">
      <c r="B5" s="63" t="s">
        <v>15</v>
      </c>
      <c r="C5" s="51">
        <v>7.06</v>
      </c>
      <c r="D5" s="51">
        <v>14.12</v>
      </c>
      <c r="E5" s="49">
        <f>INDEX($I$3:$I$16,MATCH(DASHBOARD!$F6,$H$3:$H$16,1))</f>
        <v>0.06</v>
      </c>
      <c r="F5" s="64">
        <f>INDEX($J$3:$J$16,MATCH(DASHBOARD!$F6,$H$3:$H$16,1))</f>
        <v>0.12</v>
      </c>
      <c r="H5" s="92">
        <v>1501</v>
      </c>
      <c r="I5" s="93">
        <v>0.02</v>
      </c>
      <c r="J5" s="53">
        <v>0.04</v>
      </c>
    </row>
    <row r="6" spans="1:20">
      <c r="B6" s="63" t="s">
        <v>16</v>
      </c>
      <c r="C6" s="51">
        <v>6.78</v>
      </c>
      <c r="D6" s="51">
        <v>13.56</v>
      </c>
      <c r="E6" s="49">
        <f>INDEX($I$3:$I$16,MATCH(DASHBOARD!$F7,$H$3:$H$16,1))</f>
        <v>0.06</v>
      </c>
      <c r="F6" s="64">
        <f>INDEX($J$3:$J$16,MATCH(DASHBOARD!$F7,$H$3:$H$16,1))</f>
        <v>0.12</v>
      </c>
      <c r="H6" s="92">
        <v>4101</v>
      </c>
      <c r="I6" s="93">
        <v>0.03</v>
      </c>
      <c r="J6" s="53">
        <v>0.06</v>
      </c>
      <c r="T6" s="4"/>
    </row>
    <row r="7" spans="1:20">
      <c r="B7" s="63" t="s">
        <v>17</v>
      </c>
      <c r="C7" s="51">
        <v>6.78</v>
      </c>
      <c r="D7" s="51">
        <v>13.56</v>
      </c>
      <c r="E7" s="49">
        <f>INDEX($I$3:$I$16,MATCH(DASHBOARD!$F8,$H$3:$H$16,1))</f>
        <v>0.06</v>
      </c>
      <c r="F7" s="64">
        <f>INDEX($J$3:$J$16,MATCH(DASHBOARD!$F8,$H$3:$H$16,1))</f>
        <v>0.12</v>
      </c>
      <c r="H7" s="92">
        <v>5801</v>
      </c>
      <c r="I7" s="93">
        <v>0.06</v>
      </c>
      <c r="J7" s="53">
        <v>0.12</v>
      </c>
    </row>
    <row r="8" spans="1:20">
      <c r="B8" s="63" t="s">
        <v>18</v>
      </c>
      <c r="C8" s="51">
        <v>6.78</v>
      </c>
      <c r="D8" s="51">
        <v>13.56</v>
      </c>
      <c r="E8" s="49">
        <f>INDEX($I$3:$I$16,MATCH(DASHBOARD!$F9,$H$3:$H$16,1))</f>
        <v>0.06</v>
      </c>
      <c r="F8" s="64">
        <f>INDEX($J$3:$J$16,MATCH(DASHBOARD!$F9,$H$3:$H$16,1))</f>
        <v>0.12</v>
      </c>
      <c r="H8" s="92">
        <v>7501</v>
      </c>
      <c r="I8" s="93">
        <v>0.08</v>
      </c>
      <c r="J8" s="53">
        <v>0.16</v>
      </c>
    </row>
    <row r="9" spans="1:20">
      <c r="B9" s="63" t="s">
        <v>19</v>
      </c>
      <c r="C9" s="51">
        <v>7.06</v>
      </c>
      <c r="D9" s="51">
        <v>14.12</v>
      </c>
      <c r="E9" s="49">
        <f>INDEX($I$3:$I$16,MATCH(DASHBOARD!$F10,$H$3:$H$16,1))</f>
        <v>0.06</v>
      </c>
      <c r="F9" s="64">
        <f>INDEX($J$3:$J$16,MATCH(DASHBOARD!$F10,$H$3:$H$16,1))</f>
        <v>0.12</v>
      </c>
      <c r="H9" s="92">
        <v>8751</v>
      </c>
      <c r="I9" s="93">
        <v>0.1</v>
      </c>
      <c r="J9" s="53">
        <v>0.2</v>
      </c>
    </row>
    <row r="10" spans="1:20">
      <c r="B10" s="63" t="s">
        <v>20</v>
      </c>
      <c r="C10" s="51">
        <v>7.33</v>
      </c>
      <c r="D10" s="51">
        <v>14.66</v>
      </c>
      <c r="E10" s="49">
        <f>INDEX($I$3:$I$16,MATCH(DASHBOARD!$F11,$H$3:$H$16,1))</f>
        <v>0.06</v>
      </c>
      <c r="F10" s="64">
        <f>INDEX($J$3:$J$16,MATCH(DASHBOARD!$F11,$H$3:$H$16,1))</f>
        <v>0.12</v>
      </c>
      <c r="H10" s="92">
        <v>10801</v>
      </c>
      <c r="I10" s="93">
        <v>0.13</v>
      </c>
      <c r="J10" s="53">
        <v>0.26</v>
      </c>
    </row>
    <row r="11" spans="1:20">
      <c r="B11" s="63" t="s">
        <v>21</v>
      </c>
      <c r="C11" s="51">
        <v>7.61</v>
      </c>
      <c r="D11" s="51">
        <v>15.22</v>
      </c>
      <c r="E11" s="49">
        <f>INDEX($I$3:$I$16,MATCH(DASHBOARD!$F12,$H$3:$H$16,1))</f>
        <v>0.06</v>
      </c>
      <c r="F11" s="64">
        <f>INDEX($J$3:$J$16,MATCH(DASHBOARD!$F12,$H$3:$H$16,1))</f>
        <v>0.12</v>
      </c>
      <c r="H11" s="92">
        <v>14001</v>
      </c>
      <c r="I11" s="93">
        <v>0.16</v>
      </c>
      <c r="J11" s="53">
        <v>0.32</v>
      </c>
    </row>
    <row r="12" spans="1:20">
      <c r="B12" s="63" t="s">
        <v>22</v>
      </c>
      <c r="C12" s="51">
        <v>7.87</v>
      </c>
      <c r="D12" s="51">
        <v>15.74</v>
      </c>
      <c r="E12" s="49">
        <f>INDEX($I$3:$I$16,MATCH(DASHBOARD!$F13,$H$3:$H$16,1))</f>
        <v>0.06</v>
      </c>
      <c r="F12" s="64">
        <f>INDEX($J$3:$J$16,MATCH(DASHBOARD!$F13,$H$3:$H$16,1))</f>
        <v>0.12</v>
      </c>
      <c r="H12" s="92">
        <v>17501</v>
      </c>
      <c r="I12" s="93">
        <v>0.18</v>
      </c>
      <c r="J12" s="53">
        <v>0.36</v>
      </c>
    </row>
    <row r="13" spans="1:20">
      <c r="B13" s="63" t="s">
        <v>23</v>
      </c>
      <c r="C13" s="51">
        <v>7.87</v>
      </c>
      <c r="D13" s="51">
        <v>15.74</v>
      </c>
      <c r="E13" s="49">
        <f>INDEX($I$3:$I$16,MATCH(DASHBOARD!$F14,$H$3:$H$16,1))</f>
        <v>0.06</v>
      </c>
      <c r="F13" s="64">
        <f>INDEX($J$3:$J$16,MATCH(DASHBOARD!$F14,$H$3:$H$16,1))</f>
        <v>0.12</v>
      </c>
      <c r="H13" s="92">
        <v>20001</v>
      </c>
      <c r="I13" s="93">
        <v>0.2</v>
      </c>
      <c r="J13" s="53">
        <v>0.4</v>
      </c>
    </row>
    <row r="14" spans="1:20">
      <c r="B14" s="63" t="s">
        <v>24</v>
      </c>
      <c r="C14" s="51">
        <v>7.87</v>
      </c>
      <c r="D14" s="51">
        <v>15.74</v>
      </c>
      <c r="E14" s="49">
        <f>INDEX($I$3:$I$16,MATCH(DASHBOARD!$F15,$H$3:$H$16,1))</f>
        <v>0.06</v>
      </c>
      <c r="F14" s="64">
        <f>INDEX($J$3:$J$16,MATCH(DASHBOARD!$F15,$H$3:$H$16,1))</f>
        <v>0.12</v>
      </c>
      <c r="H14" s="92">
        <v>30001</v>
      </c>
      <c r="I14" s="93">
        <v>0.22</v>
      </c>
      <c r="J14" s="53">
        <v>0.44</v>
      </c>
    </row>
    <row r="15" spans="1:20" ht="15.75" thickBot="1">
      <c r="B15" s="65" t="s">
        <v>25</v>
      </c>
      <c r="C15" s="55">
        <v>7.61</v>
      </c>
      <c r="D15" s="55">
        <v>15.22</v>
      </c>
      <c r="E15" s="74">
        <f>INDEX($I$3:$I$16,MATCH(DASHBOARD!$F16,$H$3:$H$16,1))</f>
        <v>0.06</v>
      </c>
      <c r="F15" s="66">
        <f>INDEX($J$3:$J$16,MATCH(DASHBOARD!$F16,$H$3:$H$16,1))</f>
        <v>0.12</v>
      </c>
      <c r="H15" s="92">
        <v>40001</v>
      </c>
      <c r="I15" s="93">
        <v>0.24</v>
      </c>
      <c r="J15" s="53">
        <v>0.48</v>
      </c>
    </row>
    <row r="16" spans="1:20" ht="15.75" thickBot="1">
      <c r="H16" s="94">
        <v>50001</v>
      </c>
      <c r="I16" s="95">
        <v>0.26</v>
      </c>
      <c r="J16" s="56">
        <v>0.52</v>
      </c>
    </row>
    <row r="17" spans="2:2">
      <c r="B17" t="s">
        <v>26</v>
      </c>
    </row>
  </sheetData>
  <sheetProtection algorithmName="SHA-512" hashValue="3/BmXu1E/SBdwQKNjC9jcp8hqDTLt3E7rnMy7SBlhPFl3t1B9gW71MDfXLsVBLIVvO2FCLnBRCQzueYZfY7dnw==" saltValue="lDfi/6DX8MuF0fvgKr3sNQ==" spinCount="100000" sheet="1" objects="1" scenarios="1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AEBB6-174A-492F-987A-F2EAA26A9B2A}">
  <dimension ref="A1:T36"/>
  <sheetViews>
    <sheetView topLeftCell="A13" workbookViewId="0">
      <selection activeCell="E21" sqref="E21"/>
    </sheetView>
  </sheetViews>
  <sheetFormatPr defaultRowHeight="15"/>
  <cols>
    <col min="5" max="5" width="31.7109375" bestFit="1" customWidth="1"/>
    <col min="6" max="6" width="30.28515625" bestFit="1" customWidth="1"/>
    <col min="7" max="7" width="15.140625" customWidth="1"/>
    <col min="8" max="8" width="13" customWidth="1"/>
    <col min="10" max="10" width="14.42578125" bestFit="1" customWidth="1"/>
    <col min="11" max="11" width="28" bestFit="1" customWidth="1"/>
    <col min="12" max="12" width="26.5703125" bestFit="1" customWidth="1"/>
    <col min="13" max="13" width="28" bestFit="1" customWidth="1"/>
    <col min="14" max="14" width="26.5703125" bestFit="1" customWidth="1"/>
    <col min="15" max="15" width="28" bestFit="1" customWidth="1"/>
    <col min="16" max="16" width="26.5703125" bestFit="1" customWidth="1"/>
    <col min="17" max="17" width="21.85546875" bestFit="1" customWidth="1"/>
  </cols>
  <sheetData>
    <row r="1" spans="1:20" ht="15.75">
      <c r="A1" s="31" t="s">
        <v>400</v>
      </c>
    </row>
    <row r="2" spans="1:20" ht="15.75" thickBot="1">
      <c r="E2" s="1"/>
      <c r="H2" s="1"/>
      <c r="I2" s="1"/>
      <c r="J2" s="1"/>
      <c r="K2" s="1"/>
    </row>
    <row r="3" spans="1:20" ht="45">
      <c r="A3" s="136" t="s">
        <v>317</v>
      </c>
      <c r="B3" s="61" t="s">
        <v>7</v>
      </c>
      <c r="C3" s="71" t="s">
        <v>224</v>
      </c>
      <c r="D3" s="71" t="s">
        <v>225</v>
      </c>
      <c r="E3" s="117" t="s">
        <v>401</v>
      </c>
      <c r="F3" s="117" t="s">
        <v>402</v>
      </c>
      <c r="G3" s="71" t="s">
        <v>392</v>
      </c>
      <c r="H3" s="62" t="s">
        <v>393</v>
      </c>
      <c r="J3" s="98" t="s">
        <v>370</v>
      </c>
      <c r="K3" s="115" t="s">
        <v>292</v>
      </c>
      <c r="L3" s="116" t="s">
        <v>293</v>
      </c>
    </row>
    <row r="4" spans="1:20">
      <c r="B4" s="63" t="s">
        <v>13</v>
      </c>
      <c r="C4" s="51">
        <v>5.81</v>
      </c>
      <c r="D4" s="51">
        <v>11.62</v>
      </c>
      <c r="E4" s="101">
        <f t="shared" ref="E4:E15" si="0">INDEX($K$18:$K$21,MATCH($H$19,$J$18:$J$21,1))</f>
        <v>0.17</v>
      </c>
      <c r="F4" s="101">
        <f t="shared" ref="F4:F15" si="1">INDEX($L$18:$L$21,MATCH($H$19,$J$18:$J$21,1))</f>
        <v>0.34</v>
      </c>
      <c r="G4" s="49">
        <f>INDEX($K$3:$K$16,MATCH(DASHBOARD!$F5,$J$3:$J$16,1))</f>
        <v>0.06</v>
      </c>
      <c r="H4" s="64">
        <f>INDEX($L$3:$L$16,MATCH(DASHBOARD!$F5,$J$3:$J$16,1))</f>
        <v>0.12</v>
      </c>
      <c r="J4" s="92">
        <v>0</v>
      </c>
      <c r="K4" s="93">
        <v>0.01</v>
      </c>
      <c r="L4" s="53">
        <v>0.02</v>
      </c>
    </row>
    <row r="5" spans="1:20">
      <c r="B5" s="63" t="s">
        <v>15</v>
      </c>
      <c r="C5" s="51">
        <v>5.0199999999999996</v>
      </c>
      <c r="D5" s="51">
        <v>10.039999999999999</v>
      </c>
      <c r="E5" s="101">
        <f t="shared" si="0"/>
        <v>0.17</v>
      </c>
      <c r="F5" s="101">
        <f t="shared" si="1"/>
        <v>0.34</v>
      </c>
      <c r="G5" s="49">
        <f>INDEX($K$3:$K$16,MATCH(DASHBOARD!$F6,$J$3:$J$16,1))</f>
        <v>0.06</v>
      </c>
      <c r="H5" s="64">
        <f>INDEX($L$3:$L$16,MATCH(DASHBOARD!$F6,$J$3:$J$16,1))</f>
        <v>0.12</v>
      </c>
      <c r="J5" s="92">
        <v>1501</v>
      </c>
      <c r="K5" s="93">
        <v>0.02</v>
      </c>
      <c r="L5" s="53">
        <v>0.04</v>
      </c>
    </row>
    <row r="6" spans="1:20">
      <c r="B6" s="63" t="s">
        <v>16</v>
      </c>
      <c r="C6" s="51">
        <v>5.0199999999999996</v>
      </c>
      <c r="D6" s="51">
        <v>10.039999999999999</v>
      </c>
      <c r="E6" s="101">
        <f t="shared" si="0"/>
        <v>0.17</v>
      </c>
      <c r="F6" s="101">
        <f t="shared" si="1"/>
        <v>0.34</v>
      </c>
      <c r="G6" s="49">
        <f>INDEX($K$3:$K$16,MATCH(DASHBOARD!$F7,$J$3:$J$16,1))</f>
        <v>0.06</v>
      </c>
      <c r="H6" s="64">
        <f>INDEX($L$3:$L$16,MATCH(DASHBOARD!$F7,$J$3:$J$16,1))</f>
        <v>0.12</v>
      </c>
      <c r="J6" s="92">
        <v>4101</v>
      </c>
      <c r="K6" s="93">
        <v>0.03</v>
      </c>
      <c r="L6" s="53">
        <v>0.06</v>
      </c>
      <c r="T6" s="4"/>
    </row>
    <row r="7" spans="1:20">
      <c r="B7" s="63" t="s">
        <v>17</v>
      </c>
      <c r="C7" s="51">
        <v>5.0199999999999996</v>
      </c>
      <c r="D7" s="51">
        <v>10.039999999999999</v>
      </c>
      <c r="E7" s="101">
        <f t="shared" si="0"/>
        <v>0.17</v>
      </c>
      <c r="F7" s="101">
        <f t="shared" si="1"/>
        <v>0.34</v>
      </c>
      <c r="G7" s="49">
        <f>INDEX($K$3:$K$16,MATCH(DASHBOARD!$F8,$J$3:$J$16,1))</f>
        <v>0.06</v>
      </c>
      <c r="H7" s="64">
        <f>INDEX($L$3:$L$16,MATCH(DASHBOARD!$F8,$J$3:$J$16,1))</f>
        <v>0.12</v>
      </c>
      <c r="J7" s="92">
        <v>5801</v>
      </c>
      <c r="K7" s="93">
        <v>0.06</v>
      </c>
      <c r="L7" s="53">
        <v>0.12</v>
      </c>
    </row>
    <row r="8" spans="1:20">
      <c r="B8" s="63" t="s">
        <v>18</v>
      </c>
      <c r="C8" s="51">
        <v>5.0199999999999996</v>
      </c>
      <c r="D8" s="51">
        <v>10.039999999999999</v>
      </c>
      <c r="E8" s="101">
        <f t="shared" si="0"/>
        <v>0.17</v>
      </c>
      <c r="F8" s="101">
        <f t="shared" si="1"/>
        <v>0.34</v>
      </c>
      <c r="G8" s="49">
        <f>INDEX($K$3:$K$16,MATCH(DASHBOARD!$F9,$J$3:$J$16,1))</f>
        <v>0.06</v>
      </c>
      <c r="H8" s="64">
        <f>INDEX($L$3:$L$16,MATCH(DASHBOARD!$F9,$J$3:$J$16,1))</f>
        <v>0.12</v>
      </c>
      <c r="J8" s="92">
        <v>7501</v>
      </c>
      <c r="K8" s="93">
        <v>0.08</v>
      </c>
      <c r="L8" s="53">
        <v>0.16</v>
      </c>
    </row>
    <row r="9" spans="1:20">
      <c r="B9" s="63" t="s">
        <v>19</v>
      </c>
      <c r="C9" s="51">
        <v>5.0199999999999996</v>
      </c>
      <c r="D9" s="51">
        <v>10.039999999999999</v>
      </c>
      <c r="E9" s="101">
        <f t="shared" si="0"/>
        <v>0.17</v>
      </c>
      <c r="F9" s="101">
        <f t="shared" si="1"/>
        <v>0.34</v>
      </c>
      <c r="G9" s="49">
        <f>INDEX($K$3:$K$16,MATCH(DASHBOARD!$F10,$J$3:$J$16,1))</f>
        <v>0.06</v>
      </c>
      <c r="H9" s="64">
        <f>INDEX($L$3:$L$16,MATCH(DASHBOARD!$F10,$J$3:$J$16,1))</f>
        <v>0.12</v>
      </c>
      <c r="J9" s="92">
        <v>8751</v>
      </c>
      <c r="K9" s="93">
        <v>0.1</v>
      </c>
      <c r="L9" s="53">
        <v>0.2</v>
      </c>
    </row>
    <row r="10" spans="1:20">
      <c r="B10" s="63" t="s">
        <v>20</v>
      </c>
      <c r="C10" s="51">
        <v>5.81</v>
      </c>
      <c r="D10" s="51">
        <v>11.62</v>
      </c>
      <c r="E10" s="101">
        <f t="shared" si="0"/>
        <v>0.17</v>
      </c>
      <c r="F10" s="101">
        <f t="shared" si="1"/>
        <v>0.34</v>
      </c>
      <c r="G10" s="49">
        <f>INDEX($K$3:$K$16,MATCH(DASHBOARD!$F11,$J$3:$J$16,1))</f>
        <v>0.06</v>
      </c>
      <c r="H10" s="64">
        <f>INDEX($L$3:$L$16,MATCH(DASHBOARD!$F11,$J$3:$J$16,1))</f>
        <v>0.12</v>
      </c>
      <c r="J10" s="92">
        <v>10801</v>
      </c>
      <c r="K10" s="93">
        <v>0.13</v>
      </c>
      <c r="L10" s="53">
        <v>0.26</v>
      </c>
    </row>
    <row r="11" spans="1:20">
      <c r="B11" s="63" t="s">
        <v>21</v>
      </c>
      <c r="C11" s="51">
        <v>5.81</v>
      </c>
      <c r="D11" s="51">
        <v>11.62</v>
      </c>
      <c r="E11" s="101">
        <f t="shared" si="0"/>
        <v>0.17</v>
      </c>
      <c r="F11" s="101">
        <f t="shared" si="1"/>
        <v>0.34</v>
      </c>
      <c r="G11" s="49">
        <f>INDEX($K$3:$K$16,MATCH(DASHBOARD!$F12,$J$3:$J$16,1))</f>
        <v>0.06</v>
      </c>
      <c r="H11" s="64">
        <f>INDEX($L$3:$L$16,MATCH(DASHBOARD!$F12,$J$3:$J$16,1))</f>
        <v>0.12</v>
      </c>
      <c r="J11" s="92">
        <v>14001</v>
      </c>
      <c r="K11" s="93">
        <v>0.16</v>
      </c>
      <c r="L11" s="53">
        <v>0.32</v>
      </c>
    </row>
    <row r="12" spans="1:20">
      <c r="B12" s="63" t="s">
        <v>22</v>
      </c>
      <c r="C12" s="51">
        <v>5.81</v>
      </c>
      <c r="D12" s="51">
        <v>11.62</v>
      </c>
      <c r="E12" s="101">
        <f t="shared" si="0"/>
        <v>0.17</v>
      </c>
      <c r="F12" s="101">
        <f t="shared" si="1"/>
        <v>0.34</v>
      </c>
      <c r="G12" s="49">
        <f>INDEX($K$3:$K$16,MATCH(DASHBOARD!$F13,$J$3:$J$16,1))</f>
        <v>0.06</v>
      </c>
      <c r="H12" s="64">
        <f>INDEX($L$3:$L$16,MATCH(DASHBOARD!$F13,$J$3:$J$16,1))</f>
        <v>0.12</v>
      </c>
      <c r="J12" s="92">
        <v>17501</v>
      </c>
      <c r="K12" s="93">
        <v>0.18</v>
      </c>
      <c r="L12" s="53">
        <v>0.36</v>
      </c>
    </row>
    <row r="13" spans="1:20">
      <c r="B13" s="63" t="s">
        <v>23</v>
      </c>
      <c r="C13" s="51">
        <v>5.81</v>
      </c>
      <c r="D13" s="51">
        <v>11.62</v>
      </c>
      <c r="E13" s="101">
        <f t="shared" si="0"/>
        <v>0.17</v>
      </c>
      <c r="F13" s="101">
        <f t="shared" si="1"/>
        <v>0.34</v>
      </c>
      <c r="G13" s="49">
        <f>INDEX($K$3:$K$16,MATCH(DASHBOARD!$F14,$J$3:$J$16,1))</f>
        <v>0.06</v>
      </c>
      <c r="H13" s="64">
        <f>INDEX($L$3:$L$16,MATCH(DASHBOARD!$F14,$J$3:$J$16,1))</f>
        <v>0.12</v>
      </c>
      <c r="J13" s="92">
        <v>20001</v>
      </c>
      <c r="K13" s="93">
        <v>0.2</v>
      </c>
      <c r="L13" s="53">
        <v>0.4</v>
      </c>
    </row>
    <row r="14" spans="1:20">
      <c r="B14" s="63" t="s">
        <v>24</v>
      </c>
      <c r="C14" s="51">
        <v>5.81</v>
      </c>
      <c r="D14" s="51">
        <v>11.62</v>
      </c>
      <c r="E14" s="101">
        <f t="shared" si="0"/>
        <v>0.17</v>
      </c>
      <c r="F14" s="101">
        <f t="shared" si="1"/>
        <v>0.34</v>
      </c>
      <c r="G14" s="49">
        <f>INDEX($K$3:$K$16,MATCH(DASHBOARD!$F15,$J$3:$J$16,1))</f>
        <v>0.06</v>
      </c>
      <c r="H14" s="64">
        <f>INDEX($L$3:$L$16,MATCH(DASHBOARD!$F15,$J$3:$J$16,1))</f>
        <v>0.12</v>
      </c>
      <c r="J14" s="92">
        <v>30001</v>
      </c>
      <c r="K14" s="93">
        <v>0.22</v>
      </c>
      <c r="L14" s="53">
        <v>0.44</v>
      </c>
    </row>
    <row r="15" spans="1:20" ht="15.75" thickBot="1">
      <c r="B15" s="65" t="s">
        <v>25</v>
      </c>
      <c r="C15" s="55">
        <v>5.81</v>
      </c>
      <c r="D15" s="55">
        <v>11.62</v>
      </c>
      <c r="E15" s="103">
        <f t="shared" si="0"/>
        <v>0.17</v>
      </c>
      <c r="F15" s="103">
        <f t="shared" si="1"/>
        <v>0.34</v>
      </c>
      <c r="G15" s="74">
        <f>INDEX($K$3:$K$16,MATCH(DASHBOARD!$F16,$J$3:$J$16,1))</f>
        <v>0.06</v>
      </c>
      <c r="H15" s="66">
        <f>INDEX($L$3:$L$16,MATCH(DASHBOARD!$F16,$J$3:$J$16,1))</f>
        <v>0.12</v>
      </c>
      <c r="J15" s="92">
        <v>40001</v>
      </c>
      <c r="K15" s="93">
        <v>0.24</v>
      </c>
      <c r="L15" s="53">
        <v>0.48</v>
      </c>
    </row>
    <row r="16" spans="1:20" ht="15.75" thickBot="1">
      <c r="J16" s="94">
        <v>50001</v>
      </c>
      <c r="K16" s="95">
        <v>0.26</v>
      </c>
      <c r="L16" s="56">
        <v>0.52</v>
      </c>
    </row>
    <row r="17" spans="1:12" ht="15.75" thickBot="1">
      <c r="B17" t="s">
        <v>26</v>
      </c>
    </row>
    <row r="18" spans="1:12">
      <c r="H18" s="59" t="s">
        <v>394</v>
      </c>
      <c r="J18" s="57" t="s">
        <v>394</v>
      </c>
      <c r="K18" s="60" t="s">
        <v>395</v>
      </c>
      <c r="L18" s="58" t="s">
        <v>396</v>
      </c>
    </row>
    <row r="19" spans="1:12" ht="15.75" thickBot="1">
      <c r="H19" s="114">
        <f>((SUM(DASHBOARD!$F$12:$F$16,DASHBOARD!$F$5)/DASHBOARD!$F$18)*100)</f>
        <v>50</v>
      </c>
      <c r="J19" s="52">
        <v>0</v>
      </c>
      <c r="K19" s="51">
        <v>0</v>
      </c>
      <c r="L19" s="53">
        <v>0</v>
      </c>
    </row>
    <row r="20" spans="1:12">
      <c r="J20" s="52">
        <v>42</v>
      </c>
      <c r="K20" s="51">
        <v>0.12</v>
      </c>
      <c r="L20" s="53">
        <v>0.24</v>
      </c>
    </row>
    <row r="21" spans="1:12" ht="15.75" thickBot="1">
      <c r="J21" s="54">
        <v>45</v>
      </c>
      <c r="K21" s="55">
        <v>0.17</v>
      </c>
      <c r="L21" s="56">
        <v>0.34</v>
      </c>
    </row>
    <row r="24" spans="1:12" ht="45.75">
      <c r="A24" t="s">
        <v>173</v>
      </c>
      <c r="B24" s="61" t="s">
        <v>7</v>
      </c>
      <c r="C24" s="71" t="s">
        <v>224</v>
      </c>
      <c r="D24" s="71" t="s">
        <v>225</v>
      </c>
    </row>
    <row r="25" spans="1:12">
      <c r="B25" s="63" t="s">
        <v>13</v>
      </c>
      <c r="C25" s="51">
        <v>5.56</v>
      </c>
      <c r="D25" s="51">
        <v>11.12</v>
      </c>
    </row>
    <row r="26" spans="1:12">
      <c r="B26" s="63" t="s">
        <v>15</v>
      </c>
      <c r="C26" s="51">
        <v>5.56</v>
      </c>
      <c r="D26" s="51">
        <v>11.12</v>
      </c>
    </row>
    <row r="27" spans="1:12">
      <c r="B27" s="63" t="s">
        <v>16</v>
      </c>
      <c r="C27" s="51">
        <v>5.56</v>
      </c>
      <c r="D27" s="51">
        <v>11.12</v>
      </c>
    </row>
    <row r="28" spans="1:12">
      <c r="B28" s="63" t="s">
        <v>17</v>
      </c>
      <c r="C28" s="51">
        <v>5.56</v>
      </c>
      <c r="D28" s="51">
        <v>11.12</v>
      </c>
    </row>
    <row r="29" spans="1:12">
      <c r="B29" s="63" t="s">
        <v>18</v>
      </c>
      <c r="C29" s="51">
        <v>5.56</v>
      </c>
      <c r="D29" s="51">
        <v>11.12</v>
      </c>
    </row>
    <row r="30" spans="1:12">
      <c r="B30" s="63" t="s">
        <v>19</v>
      </c>
      <c r="C30" s="51">
        <v>5.56</v>
      </c>
      <c r="D30" s="51">
        <v>11.12</v>
      </c>
    </row>
    <row r="31" spans="1:12">
      <c r="B31" s="63" t="s">
        <v>20</v>
      </c>
      <c r="C31" s="51">
        <v>5.56</v>
      </c>
      <c r="D31" s="51">
        <v>11.12</v>
      </c>
    </row>
    <row r="32" spans="1:12">
      <c r="B32" s="63" t="s">
        <v>21</v>
      </c>
      <c r="C32" s="51">
        <v>5.56</v>
      </c>
      <c r="D32" s="51">
        <v>11.12</v>
      </c>
    </row>
    <row r="33" spans="2:4">
      <c r="B33" s="63" t="s">
        <v>22</v>
      </c>
      <c r="C33" s="51">
        <v>5.56</v>
      </c>
      <c r="D33" s="51">
        <v>11.12</v>
      </c>
    </row>
    <row r="34" spans="2:4">
      <c r="B34" s="63" t="s">
        <v>23</v>
      </c>
      <c r="C34" s="51">
        <v>5.56</v>
      </c>
      <c r="D34" s="51">
        <v>11.12</v>
      </c>
    </row>
    <row r="35" spans="2:4">
      <c r="B35" s="63" t="s">
        <v>24</v>
      </c>
      <c r="C35" s="51">
        <v>5.56</v>
      </c>
      <c r="D35" s="51">
        <v>11.12</v>
      </c>
    </row>
    <row r="36" spans="2:4">
      <c r="B36" s="65" t="s">
        <v>25</v>
      </c>
      <c r="C36" s="51">
        <v>5.56</v>
      </c>
      <c r="D36" s="51">
        <v>11.12</v>
      </c>
    </row>
  </sheetData>
  <sheetProtection algorithmName="SHA-512" hashValue="/eFOmy7mQJ1swMaYqcL2jPBe0KVhgWZDTA3Ac5epiwiKaPli3KnMqqhvXC74f65dMRQTPsA7FAJiT0WQ1YTzFg==" saltValue="XFEsFxRNtkU1AHyC1uFdtg==" spinCount="100000" sheet="1" objects="1" scenarios="1"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56C73-8D1A-4A03-A2A4-3FE54F938E9A}">
  <dimension ref="A1:I31"/>
  <sheetViews>
    <sheetView topLeftCell="A7" workbookViewId="0">
      <selection activeCell="B33" sqref="B33"/>
    </sheetView>
  </sheetViews>
  <sheetFormatPr defaultRowHeight="15"/>
  <cols>
    <col min="4" max="4" width="18.42578125" bestFit="1" customWidth="1"/>
    <col min="5" max="5" width="13.140625" customWidth="1"/>
    <col min="6" max="6" width="12.28515625" customWidth="1"/>
    <col min="8" max="8" width="23.42578125" bestFit="1" customWidth="1"/>
    <col min="9" max="10" width="22.85546875" bestFit="1" customWidth="1"/>
    <col min="11" max="11" width="20.140625" bestFit="1" customWidth="1"/>
  </cols>
  <sheetData>
    <row r="1" spans="1:9">
      <c r="A1" s="26" t="s">
        <v>403</v>
      </c>
    </row>
    <row r="5" spans="1:9" ht="60.75">
      <c r="A5" s="136" t="s">
        <v>317</v>
      </c>
      <c r="B5" s="61" t="s">
        <v>7</v>
      </c>
      <c r="C5" s="71" t="s">
        <v>224</v>
      </c>
      <c r="D5" s="60" t="s">
        <v>225</v>
      </c>
      <c r="E5" s="71" t="s">
        <v>404</v>
      </c>
      <c r="F5" s="62" t="s">
        <v>405</v>
      </c>
      <c r="H5" s="57" t="s">
        <v>406</v>
      </c>
      <c r="I5" s="58" t="s">
        <v>407</v>
      </c>
    </row>
    <row r="6" spans="1:9">
      <c r="B6" s="63" t="s">
        <v>13</v>
      </c>
      <c r="C6" s="51">
        <v>7.3070000000000004</v>
      </c>
      <c r="D6" s="51">
        <v>7.3070000000000004</v>
      </c>
      <c r="E6" s="93">
        <f>1</f>
        <v>1</v>
      </c>
      <c r="F6" s="64">
        <f>INDEX($I$5:$I$9, MATCH(DASHBOARD!$F$18,UDC!$H$5:$H$9,1))</f>
        <v>0</v>
      </c>
      <c r="H6" s="52">
        <v>0</v>
      </c>
      <c r="I6" s="53">
        <v>0</v>
      </c>
    </row>
    <row r="7" spans="1:9">
      <c r="B7" s="63" t="s">
        <v>15</v>
      </c>
      <c r="C7" s="51">
        <v>7.3070000000000004</v>
      </c>
      <c r="D7" s="51">
        <v>7.3070000000000004</v>
      </c>
      <c r="E7" s="51">
        <v>0</v>
      </c>
      <c r="F7" s="64">
        <f>INDEX($I$5:$I$9, MATCH(DASHBOARD!$F$18,UDC!$H$5:$H$9,1))</f>
        <v>0</v>
      </c>
      <c r="H7" s="52">
        <v>300000</v>
      </c>
      <c r="I7" s="53">
        <v>0.1</v>
      </c>
    </row>
    <row r="8" spans="1:9">
      <c r="B8" s="63" t="s">
        <v>16</v>
      </c>
      <c r="C8" s="51">
        <v>7.3070000000000004</v>
      </c>
      <c r="D8" s="51">
        <v>7.3070000000000004</v>
      </c>
      <c r="E8" s="51">
        <v>0</v>
      </c>
      <c r="F8" s="64">
        <f>INDEX($I$5:$I$9, MATCH(DASHBOARD!$F$18,UDC!$H$5:$H$9,1))</f>
        <v>0</v>
      </c>
      <c r="H8" s="52">
        <v>400000</v>
      </c>
      <c r="I8" s="53">
        <v>0.2</v>
      </c>
    </row>
    <row r="9" spans="1:9" ht="15.75" thickBot="1">
      <c r="B9" s="63" t="s">
        <v>17</v>
      </c>
      <c r="C9" s="51">
        <v>7.3070000000000004</v>
      </c>
      <c r="D9" s="51">
        <v>7.3070000000000004</v>
      </c>
      <c r="E9" s="51">
        <v>0</v>
      </c>
      <c r="F9" s="64">
        <f>INDEX($I$5:$I$9, MATCH(DASHBOARD!$F$18,UDC!$H$5:$H$9,1))</f>
        <v>0</v>
      </c>
      <c r="H9" s="54">
        <v>500000</v>
      </c>
      <c r="I9" s="56">
        <v>0.4</v>
      </c>
    </row>
    <row r="10" spans="1:9">
      <c r="B10" s="63" t="s">
        <v>18</v>
      </c>
      <c r="C10" s="51">
        <v>7.3070000000000004</v>
      </c>
      <c r="D10" s="51">
        <v>7.3070000000000004</v>
      </c>
      <c r="E10" s="51">
        <v>0</v>
      </c>
      <c r="F10" s="64">
        <f>INDEX($I$5:$I$9, MATCH(DASHBOARD!$F$18,UDC!$H$5:$H$9,1))</f>
        <v>0</v>
      </c>
    </row>
    <row r="11" spans="1:9">
      <c r="B11" s="63" t="s">
        <v>19</v>
      </c>
      <c r="C11" s="51">
        <v>7.3070000000000004</v>
      </c>
      <c r="D11" s="51">
        <v>7.3070000000000004</v>
      </c>
      <c r="E11" s="51">
        <v>0</v>
      </c>
      <c r="F11" s="64">
        <f>INDEX($I$5:$I$9, MATCH(DASHBOARD!$F$18,UDC!$H$5:$H$9,1))</f>
        <v>0</v>
      </c>
    </row>
    <row r="12" spans="1:9">
      <c r="B12" s="63" t="s">
        <v>20</v>
      </c>
      <c r="C12" s="51">
        <v>7.3070000000000004</v>
      </c>
      <c r="D12" s="51">
        <v>7.3070000000000004</v>
      </c>
      <c r="E12" s="93">
        <v>1</v>
      </c>
      <c r="F12" s="64">
        <f>INDEX($I$5:$I$9, MATCH(DASHBOARD!$F$18,UDC!$H$5:$H$9,1))</f>
        <v>0</v>
      </c>
    </row>
    <row r="13" spans="1:9">
      <c r="B13" s="63" t="s">
        <v>21</v>
      </c>
      <c r="C13" s="51">
        <v>7.3070000000000004</v>
      </c>
      <c r="D13" s="51">
        <v>7.3070000000000004</v>
      </c>
      <c r="E13" s="93">
        <v>1</v>
      </c>
      <c r="F13" s="64">
        <f>INDEX($I$5:$I$9, MATCH(DASHBOARD!$F$18,UDC!$H$5:$H$9,1))</f>
        <v>0</v>
      </c>
    </row>
    <row r="14" spans="1:9">
      <c r="B14" s="63" t="s">
        <v>22</v>
      </c>
      <c r="C14" s="51">
        <v>7.3070000000000004</v>
      </c>
      <c r="D14" s="51">
        <v>7.3070000000000004</v>
      </c>
      <c r="E14" s="93">
        <v>1</v>
      </c>
      <c r="F14" s="64">
        <f>INDEX($I$5:$I$9, MATCH(DASHBOARD!$F$18,UDC!$H$5:$H$9,1))</f>
        <v>0</v>
      </c>
    </row>
    <row r="15" spans="1:9">
      <c r="B15" s="63" t="s">
        <v>23</v>
      </c>
      <c r="C15" s="51">
        <v>7.3070000000000004</v>
      </c>
      <c r="D15" s="51">
        <v>7.3070000000000004</v>
      </c>
      <c r="E15" s="93">
        <v>1</v>
      </c>
      <c r="F15" s="64">
        <f>INDEX($I$5:$I$9, MATCH(DASHBOARD!$F$18,UDC!$H$5:$H$9,1))</f>
        <v>0</v>
      </c>
    </row>
    <row r="16" spans="1:9">
      <c r="B16" s="63" t="s">
        <v>24</v>
      </c>
      <c r="C16" s="51">
        <v>7.3070000000000004</v>
      </c>
      <c r="D16" s="51">
        <v>7.3070000000000004</v>
      </c>
      <c r="E16" s="93">
        <v>1</v>
      </c>
      <c r="F16" s="64">
        <f>INDEX($I$5:$I$9, MATCH(DASHBOARD!$F$18,UDC!$H$5:$H$9,1))</f>
        <v>0</v>
      </c>
    </row>
    <row r="17" spans="1:8" ht="15.75" thickBot="1">
      <c r="B17" s="65" t="s">
        <v>25</v>
      </c>
      <c r="C17" s="55">
        <v>7.3070000000000004</v>
      </c>
      <c r="D17" s="55">
        <v>7.3070000000000004</v>
      </c>
      <c r="E17" s="95">
        <v>1</v>
      </c>
      <c r="F17" s="66">
        <f>INDEX($I$5:$I$9, MATCH(DASHBOARD!$F$18,UDC!$H$5:$H$9,1))</f>
        <v>0</v>
      </c>
    </row>
    <row r="19" spans="1:8" ht="45.75">
      <c r="A19" s="136" t="s">
        <v>244</v>
      </c>
      <c r="B19" s="61" t="s">
        <v>7</v>
      </c>
      <c r="C19" s="71" t="s">
        <v>224</v>
      </c>
      <c r="D19" s="60" t="s">
        <v>225</v>
      </c>
      <c r="E19" s="71" t="s">
        <v>404</v>
      </c>
      <c r="F19" s="62" t="s">
        <v>408</v>
      </c>
      <c r="H19" s="138" t="s">
        <v>409</v>
      </c>
    </row>
    <row r="20" spans="1:8" ht="20.25" customHeight="1">
      <c r="B20" s="63" t="s">
        <v>13</v>
      </c>
      <c r="C20" s="51">
        <v>7.3070000000000004</v>
      </c>
      <c r="D20" s="51">
        <v>7.3070000000000004</v>
      </c>
      <c r="E20" s="93">
        <v>1.5</v>
      </c>
      <c r="F20" s="137">
        <f>IF($H$20&gt;0.6, 0.3*DASHBOARD!$F5, IF($H$20&gt;0.4, (0.3*DASHBOARD!$F5)+((($H$20-0.4)/0.4)*DASHBOARD!F5*0.3), 0))</f>
        <v>2700</v>
      </c>
      <c r="H20" s="139">
        <f>(SUM(DASHBOARD!F5,DASHBOARD!F12:F16))/DASHBOARD!F18</f>
        <v>0.5</v>
      </c>
    </row>
    <row r="21" spans="1:8">
      <c r="B21" s="63" t="s">
        <v>15</v>
      </c>
      <c r="C21" s="51">
        <v>7.3070000000000004</v>
      </c>
      <c r="D21" s="51">
        <v>7.3070000000000004</v>
      </c>
      <c r="E21" s="51">
        <v>1.5</v>
      </c>
      <c r="F21" s="137">
        <f>IF($H$20&gt;0.6, 0.3*DASHBOARD!$F6, IF($H$20&gt;0.4, (0.3*DASHBOARD!$F6)+((($H$20-0.4)/0.4)*DASHBOARD!F6*0.3), 0))</f>
        <v>2700</v>
      </c>
    </row>
    <row r="22" spans="1:8">
      <c r="B22" s="63" t="s">
        <v>16</v>
      </c>
      <c r="C22" s="51">
        <v>7.3070000000000004</v>
      </c>
      <c r="D22" s="51">
        <v>7.3070000000000004</v>
      </c>
      <c r="E22" s="51">
        <v>1.5</v>
      </c>
      <c r="F22" s="137">
        <f>IF($H$20&gt;0.6, 0.3*DASHBOARD!$F7, IF($H$20&gt;0.4, (0.3*DASHBOARD!$F7)+((($H$20-0.4)/0.4)*DASHBOARD!F7*0.3), 0))</f>
        <v>2700</v>
      </c>
    </row>
    <row r="23" spans="1:8">
      <c r="B23" s="63" t="s">
        <v>17</v>
      </c>
      <c r="C23" s="51">
        <v>7.3070000000000004</v>
      </c>
      <c r="D23" s="51">
        <v>7.3070000000000004</v>
      </c>
      <c r="E23" s="51">
        <v>0</v>
      </c>
      <c r="F23" s="137">
        <f>IF($H$20&gt;0.6, 0.3*DASHBOARD!$F8, IF($H$20&gt;0.4, (0.3*DASHBOARD!$F8)+((($H$20-0.4)/0.4)*DASHBOARD!F8*0.3), 0))</f>
        <v>2700</v>
      </c>
    </row>
    <row r="24" spans="1:8">
      <c r="B24" s="63" t="s">
        <v>18</v>
      </c>
      <c r="C24" s="51">
        <v>7.3070000000000004</v>
      </c>
      <c r="D24" s="51">
        <v>7.3070000000000004</v>
      </c>
      <c r="E24" s="51">
        <v>0</v>
      </c>
      <c r="F24" s="137">
        <f>IF($H$20&gt;0.6, 0.3*DASHBOARD!$F9, IF($H$20&gt;0.4, (0.3*DASHBOARD!$F9)+((($H$20-0.4)/0.4)*DASHBOARD!F9*0.3), 0))</f>
        <v>2700</v>
      </c>
    </row>
    <row r="25" spans="1:8">
      <c r="B25" s="63" t="s">
        <v>19</v>
      </c>
      <c r="C25" s="51">
        <v>7.3070000000000004</v>
      </c>
      <c r="D25" s="51">
        <v>7.3070000000000004</v>
      </c>
      <c r="E25" s="51">
        <v>0</v>
      </c>
      <c r="F25" s="137">
        <f>IF($H$20&gt;0.6, 0.3*DASHBOARD!$F10, IF($H$20&gt;0.4, (0.3*DASHBOARD!$F10)+((($H$20-0.4)/0.4)*DASHBOARD!F10*0.3), 0))</f>
        <v>2700</v>
      </c>
    </row>
    <row r="26" spans="1:8">
      <c r="B26" s="63" t="s">
        <v>20</v>
      </c>
      <c r="C26" s="51">
        <v>7.3070000000000004</v>
      </c>
      <c r="D26" s="51">
        <v>7.3070000000000004</v>
      </c>
      <c r="E26" s="93">
        <v>1.5</v>
      </c>
      <c r="F26" s="137">
        <f>IF($H$20&gt;0.6, 0.3*DASHBOARD!$F11, IF($H$20&gt;0.4, (0.3*DASHBOARD!$F11)+((($H$20-0.4)/0.4)*DASHBOARD!F11*0.3), 0))</f>
        <v>2700</v>
      </c>
    </row>
    <row r="27" spans="1:8">
      <c r="B27" s="63" t="s">
        <v>21</v>
      </c>
      <c r="C27" s="51">
        <v>7.3070000000000004</v>
      </c>
      <c r="D27" s="51">
        <v>7.3070000000000004</v>
      </c>
      <c r="E27" s="93">
        <v>1.5</v>
      </c>
      <c r="F27" s="137">
        <f>IF($H$20&gt;0.6, 0.3*DASHBOARD!$F12, IF($H$20&gt;0.4, (0.3*DASHBOARD!$F12)+((($H$20-0.4)/0.4)*DASHBOARD!F12*0.3), 0))</f>
        <v>2700</v>
      </c>
    </row>
    <row r="28" spans="1:8">
      <c r="B28" s="63" t="s">
        <v>22</v>
      </c>
      <c r="C28" s="51">
        <v>7.3070000000000004</v>
      </c>
      <c r="D28" s="51">
        <v>7.3070000000000004</v>
      </c>
      <c r="E28" s="93">
        <v>1.5</v>
      </c>
      <c r="F28" s="137">
        <f>IF($H$20&gt;0.6, 0.3*DASHBOARD!$F13, IF($H$20&gt;0.4, (0.3*DASHBOARD!$F13)+((($H$20-0.4)/0.4)*DASHBOARD!F13*0.3), 0))</f>
        <v>2700</v>
      </c>
    </row>
    <row r="29" spans="1:8">
      <c r="B29" s="63" t="s">
        <v>23</v>
      </c>
      <c r="C29" s="51">
        <v>7.3070000000000004</v>
      </c>
      <c r="D29" s="51">
        <v>7.3070000000000004</v>
      </c>
      <c r="E29" s="93">
        <v>1.5</v>
      </c>
      <c r="F29" s="137">
        <f>IF($H$20&gt;0.6, 0.3*DASHBOARD!$F14, IF($H$20&gt;0.4, (0.3*DASHBOARD!$F14)+((($H$20-0.4)/0.4)*DASHBOARD!F14*0.3), 0))</f>
        <v>2700</v>
      </c>
    </row>
    <row r="30" spans="1:8">
      <c r="B30" s="63" t="s">
        <v>24</v>
      </c>
      <c r="C30" s="51">
        <v>7.3070000000000004</v>
      </c>
      <c r="D30" s="51">
        <v>7.3070000000000004</v>
      </c>
      <c r="E30" s="93">
        <v>1.5</v>
      </c>
      <c r="F30" s="137">
        <f>IF($H$20&gt;0.6, 0.3*DASHBOARD!$F15, IF($H$20&gt;0.4, (0.3*DASHBOARD!$F15)+((($H$20-0.4)/0.4)*DASHBOARD!F15*0.3), 0))</f>
        <v>2700</v>
      </c>
    </row>
    <row r="31" spans="1:8">
      <c r="B31" s="65" t="s">
        <v>25</v>
      </c>
      <c r="C31" s="55">
        <v>7.3070000000000004</v>
      </c>
      <c r="D31" s="55">
        <v>7.3070000000000004</v>
      </c>
      <c r="E31" s="95">
        <v>1.5</v>
      </c>
      <c r="F31" s="137">
        <f>IF($H$20&gt;0.6, 0.3*DASHBOARD!$F16, IF($H$20&gt;0.4, (0.3*DASHBOARD!$F16)+((($H$20-0.4)/0.4)*DASHBOARD!F16*0.3), 0))</f>
        <v>2700</v>
      </c>
    </row>
  </sheetData>
  <sheetProtection algorithmName="SHA-512" hashValue="9gIwirdku9ztfxLtD5P4IBTk3f8S/JA/k4t8xjCN4cbmZp/+NVH42sGPBkOnSZouXV0gUhB+m5GrIkHxV8qu3Q==" saltValue="FP9umjQHb/0MviAsdiqWOA==" spinCount="100000" sheet="1" objects="1" scenarios="1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BB64-8953-482F-BB03-02EEBF7BB5DA}">
  <dimension ref="A1:C15"/>
  <sheetViews>
    <sheetView workbookViewId="0">
      <selection activeCell="L20" sqref="L20"/>
    </sheetView>
  </sheetViews>
  <sheetFormatPr defaultRowHeight="15"/>
  <cols>
    <col min="2" max="2" width="10.85546875" bestFit="1" customWidth="1"/>
    <col min="3" max="3" width="15.7109375" customWidth="1"/>
  </cols>
  <sheetData>
    <row r="1" spans="1:3">
      <c r="A1" t="s">
        <v>410</v>
      </c>
    </row>
    <row r="2" spans="1:3" ht="15.75" thickBot="1"/>
    <row r="3" spans="1:3">
      <c r="B3" s="61" t="s">
        <v>7</v>
      </c>
      <c r="C3" s="62" t="s">
        <v>324</v>
      </c>
    </row>
    <row r="4" spans="1:3">
      <c r="B4" s="63" t="s">
        <v>13</v>
      </c>
      <c r="C4" s="53">
        <v>8.5</v>
      </c>
    </row>
    <row r="5" spans="1:3">
      <c r="B5" s="63" t="s">
        <v>15</v>
      </c>
      <c r="C5" s="53">
        <v>8.5</v>
      </c>
    </row>
    <row r="6" spans="1:3">
      <c r="B6" s="63" t="s">
        <v>16</v>
      </c>
      <c r="C6" s="53">
        <v>8.5</v>
      </c>
    </row>
    <row r="7" spans="1:3">
      <c r="B7" s="63" t="s">
        <v>17</v>
      </c>
      <c r="C7" s="53">
        <v>8.5</v>
      </c>
    </row>
    <row r="8" spans="1:3">
      <c r="B8" s="63" t="s">
        <v>18</v>
      </c>
      <c r="C8" s="53">
        <v>8.5</v>
      </c>
    </row>
    <row r="9" spans="1:3">
      <c r="B9" s="63" t="s">
        <v>19</v>
      </c>
      <c r="C9" s="53">
        <v>8.5</v>
      </c>
    </row>
    <row r="10" spans="1:3">
      <c r="B10" s="63" t="s">
        <v>20</v>
      </c>
      <c r="C10" s="53">
        <v>8.5</v>
      </c>
    </row>
    <row r="11" spans="1:3">
      <c r="B11" s="63" t="s">
        <v>21</v>
      </c>
      <c r="C11" s="53">
        <v>8.5</v>
      </c>
    </row>
    <row r="12" spans="1:3">
      <c r="B12" s="63" t="s">
        <v>22</v>
      </c>
      <c r="C12" s="53">
        <v>8.5</v>
      </c>
    </row>
    <row r="13" spans="1:3">
      <c r="B13" s="63" t="s">
        <v>23</v>
      </c>
      <c r="C13" s="53">
        <v>8.5</v>
      </c>
    </row>
    <row r="14" spans="1:3">
      <c r="B14" s="63" t="s">
        <v>24</v>
      </c>
      <c r="C14" s="53">
        <v>8.5</v>
      </c>
    </row>
    <row r="15" spans="1:3" ht="15.75" thickBot="1">
      <c r="B15" s="65" t="s">
        <v>25</v>
      </c>
      <c r="C15" s="56">
        <v>8.5</v>
      </c>
    </row>
  </sheetData>
  <sheetProtection algorithmName="SHA-512" hashValue="6r7uJCEtM/qGwlv3e1yL9q8vcqcrSjID+vt5IU9JcJbmLP+IdvPKau2Hwh/1qRBBkS8KRZtN0ZZQnUssIlakew==" saltValue="Kouk0iqhlrVLAG/KwSAVv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D79A46E15AA49BC8E995BACA401B5" ma:contentTypeVersion="18" ma:contentTypeDescription="Create a new document." ma:contentTypeScope="" ma:versionID="9fd9f85027cfd8bb5ca03231426bba45">
  <xsd:schema xmlns:xsd="http://www.w3.org/2001/XMLSchema" xmlns:xs="http://www.w3.org/2001/XMLSchema" xmlns:p="http://schemas.microsoft.com/office/2006/metadata/properties" xmlns:ns2="e824a33f-eeb9-4a72-b1a6-5b73be305c80" xmlns:ns3="aece04eb-61a2-49cd-b8ab-46918fa920e2" targetNamespace="http://schemas.microsoft.com/office/2006/metadata/properties" ma:root="true" ma:fieldsID="c818b6b927abffbf835293db39a0f315" ns2:_="" ns3:_="">
    <xsd:import namespace="e824a33f-eeb9-4a72-b1a6-5b73be305c80"/>
    <xsd:import namespace="aece04eb-61a2-49cd-b8ab-46918fa920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24a33f-eeb9-4a72-b1a6-5b73be305c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1e35bd-b3fe-49ba-b2b7-5bc27a362db8}" ma:internalName="TaxCatchAll" ma:showField="CatchAllData" ma:web="e824a33f-eeb9-4a72-b1a6-5b73be305c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e04eb-61a2-49cd-b8ab-46918fa92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e58bc73-98fb-4776-a8e5-b7a9e391c6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24a33f-eeb9-4a72-b1a6-5b73be305c80" xsi:nil="true"/>
    <lcf76f155ced4ddcb4097134ff3c332f xmlns="aece04eb-61a2-49cd-b8ab-46918fa920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6A2EAC-5AE1-43FA-A8E5-B66612814253}"/>
</file>

<file path=customXml/itemProps2.xml><?xml version="1.0" encoding="utf-8"?>
<ds:datastoreItem xmlns:ds="http://schemas.openxmlformats.org/officeDocument/2006/customXml" ds:itemID="{3F5C5442-6DBE-4D7D-9FDD-EF1AC4D743C8}"/>
</file>

<file path=customXml/itemProps3.xml><?xml version="1.0" encoding="utf-8"?>
<ds:datastoreItem xmlns:ds="http://schemas.openxmlformats.org/officeDocument/2006/customXml" ds:itemID="{E5809FD7-9BA2-4889-ACA8-3D8C69079D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Curtis (SADA)</dc:creator>
  <cp:keywords/>
  <dc:description/>
  <cp:lastModifiedBy/>
  <cp:revision/>
  <dcterms:created xsi:type="dcterms:W3CDTF">2023-06-02T02:05:26Z</dcterms:created>
  <dcterms:modified xsi:type="dcterms:W3CDTF">2025-05-14T23:10:57Z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0x010100236D79A46E15AA49BC8E995BACA401B5</vt:lpwstr>
  </property>
  <property fmtid="{D5CDD505-2E9C-101B-9397-08002B2CF9AE}" pid="3" name="MediaServiceImageTags">
    <vt:lpwstr/>
  </property>
</Properties>
</file>